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9)Equity YTD4" sheetId="5" state="hidden" r:id="rId5"/>
    <sheet name="Income Statement-2" sheetId="6" r:id="rId6"/>
    <sheet name="Equity QTD-3" sheetId="7" r:id="rId7"/>
    <sheet name="Equity YTD-4" sheetId="8"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4">'(9)Equity YTD4'!$A$1:$G$62</definedName>
    <definedName name="_xlnm.Print_Area" localSheetId="8">'Earned Incurred QTD-5'!$A$1:$D$54</definedName>
    <definedName name="_xlnm.Print_Area" localSheetId="11">'Earned Incurred YTD-6'!$A$1:$D$54</definedName>
    <definedName name="_xlnm.Print_Area" localSheetId="7">'Equity YTD-4'!$A$1:$G$56</definedName>
    <definedName name="_xlnm.Print_Area" localSheetId="2">'EXPENSES (p11)'!$A$1:$T$76</definedName>
    <definedName name="_xlnm.Print_Area" localSheetId="21">'IBNR JE2'!$A$1:$E$25</definedName>
    <definedName name="_xlnm.Print_Area" localSheetId="5">'Income Statement-2'!$A$1:$E$34</definedName>
    <definedName name="_xlnm.Print_Area" localSheetId="16">'Loss Expenses QTD-11'!$A$1:$G$30</definedName>
    <definedName name="_xlnm.Print_Area" localSheetId="17">'Loss Expenses YTD-12'!$A$1:$G$30</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<sst xmlns="http://schemas.openxmlformats.org/spreadsheetml/2006/main" count="1120" uniqueCount="500">
  <si>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</si>
  <si>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</si>
  <si>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</si>
  <si>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</si>
  <si>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</si>
  <si>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</si>
  <si>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</si>
  <si>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</si>
  <si>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</si>
  <si>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</si>
  <si>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</si>
  <si>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</si>
  <si>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</si>
  <si>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</si>
  <si>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</si>
  <si>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</si>
  <si>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</si>
  <si>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</si>
  <si>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</si>
  <si>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</si>
  <si>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</si>
  <si>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</si>
  <si>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</si>
  <si>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</si>
  <si>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</si>
  <si>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</si>
  <si>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</si>
  <si>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</si>
  <si>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</si>
  <si>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</si>
  <si>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</si>
  <si>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</si>
  <si>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</si>
  <si>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</si>
  <si>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</si>
  <si>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</si>
  <si>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</si>
  <si>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</si>
  <si>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</si>
  <si>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</si>
  <si>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</si>
  <si>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</si>
  <si>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</si>
  <si>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</si>
  <si>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</si>
  <si>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</si>
  <si>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</si>
  <si>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</si>
  <si>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</si>
  <si>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</si>
  <si>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</si>
  <si>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</si>
  <si>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</si>
  <si>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</si>
  <si>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</si>
  <si>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</si>
  <si>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</si>
  <si>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</si>
  <si>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</si>
  <si>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</si>
  <si>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</si>
  <si>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</si>
  <si>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</si>
  <si>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</si>
  <si>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</si>
  <si>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</si>
  <si>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</si>
  <si>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</si>
  <si>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</si>
  <si>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</si>
  <si>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</si>
  <si>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</si>
  <si>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</si>
  <si>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</si>
  <si>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</si>
  <si>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</si>
  <si>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</si>
  <si>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</si>
  <si>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</si>
  <si>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</si>
  <si>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</si>
  <si>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</si>
  <si>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</si>
  <si>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</si>
  <si>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</si>
  <si>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</si>
  <si>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</si>
  <si>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</si>
  <si>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</si>
  <si>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</si>
  <si>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</si>
  <si>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</si>
  <si>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</si>
  <si>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</si>
  <si>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</si>
  <si>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</si>
  <si>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</si>
  <si>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</si>
  <si>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</si>
  <si>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</si>
  <si>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</si>
  <si>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</si>
  <si>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</si>
  <si>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</si>
  <si>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</si>
  <si>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</si>
  <si>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</si>
  <si>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</si>
  <si>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</si>
  <si>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</si>
  <si>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</si>
  <si>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</si>
  <si>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</si>
  <si>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</si>
  <si>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</si>
  <si>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</si>
  <si>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</si>
  <si>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</si>
  <si>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</si>
  <si>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</si>
  <si>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</si>
  <si>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</si>
  <si>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</si>
  <si>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</si>
  <si>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</si>
  <si>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</si>
  <si>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</si>
  <si>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</si>
  <si>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</si>
  <si>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</si>
  <si>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</si>
  <si>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</si>
  <si>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</si>
  <si>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</si>
  <si>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</si>
  <si>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</si>
  <si>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</si>
  <si>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</si>
  <si>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</si>
  <si>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</si>
  <si>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</si>
  <si>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</si>
  <si>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</si>
  <si>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</si>
  <si>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</si>
  <si>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</si>
  <si>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</si>
  <si>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</si>
  <si>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</si>
  <si>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</si>
  <si>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</si>
  <si>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</si>
  <si>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</si>
  <si>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</si>
  <si>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</si>
  <si>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</si>
  <si>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</si>
  <si>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</si>
  <si>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</si>
  <si>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</si>
  <si>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</si>
  <si>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</si>
  <si>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</si>
  <si>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</si>
  <si>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</si>
  <si>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</si>
  <si>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</si>
  <si>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</si>
  <si>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</si>
  <si>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</si>
  <si>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</si>
  <si>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</si>
  <si>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</si>
  <si>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</si>
  <si>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</si>
  <si>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</si>
  <si>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</si>
  <si>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</si>
  <si>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</si>
  <si>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</si>
  <si>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</si>
  <si>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</si>
  <si>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</si>
  <si>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</si>
  <si>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</si>
  <si>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</si>
  <si>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</si>
  <si>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</si>
  <si>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</si>
  <si>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</si>
  <si>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</si>
  <si>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</si>
  <si>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</si>
  <si>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</si>
  <si>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</si>
  <si>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</si>
  <si>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</si>
  <si>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</si>
  <si>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</si>
  <si>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</si>
  <si>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</si>
  <si>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</si>
  <si>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</si>
  <si>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</si>
  <si>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</si>
  <si>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</si>
  <si>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</si>
  <si>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</si>
  <si>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</si>
  <si>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</si>
  <si>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</si>
  <si>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</si>
  <si>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</si>
  <si>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</si>
  <si>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</si>
  <si>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</si>
  <si>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</si>
  <si>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</si>
  <si>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</si>
  <si>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</si>
  <si>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</si>
  <si>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</si>
  <si>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</si>
  <si>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</si>
  <si>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</si>
  <si>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</si>
  <si>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</si>
  <si>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</si>
  <si>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</si>
  <si>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</si>
  <si>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</si>
  <si>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</si>
  <si>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</si>
  <si>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</si>
  <si>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</si>
  <si>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</si>
  <si>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</si>
  <si>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</si>
  <si>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</si>
  <si>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</si>
  <si>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</si>
  <si>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</si>
  <si>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</si>
  <si>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</si>
  <si>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</si>
  <si>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</si>
  <si>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</si>
  <si>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</si>
  <si>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</si>
  <si>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</si>
  <si>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</si>
  <si>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</si>
  <si>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</si>
  <si>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</si>
  <si>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</si>
  <si>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</si>
  <si>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</si>
  <si>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</si>
  <si>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</si>
  <si>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</si>
  <si>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</si>
  <si>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</si>
  <si>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</si>
  <si>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</si>
  <si>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</si>
  <si>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</si>
  <si>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</si>
  <si>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</si>
  <si>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</si>
  <si>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</si>
  <si>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</si>
  <si>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</si>
  <si>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</si>
  <si>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</si>
  <si>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</si>
  <si>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</si>
  <si>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</si>
  <si>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</si>
  <si>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</si>
  <si>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</si>
  <si>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</si>
  <si>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</si>
  <si>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</si>
  <si>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</si>
  <si>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</si>
  <si>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</si>
  <si>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</si>
  <si>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</si>
  <si>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</si>
  <si>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</si>
  <si>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</si>
  <si>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</si>
  <si>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</si>
  <si>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</si>
  <si>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</si>
  <si>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</si>
  <si>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</si>
  <si>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</si>
  <si>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</si>
  <si>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</si>
  <si>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</si>
  <si>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</si>
  <si>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</si>
  <si>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</si>
  <si>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</si>
  <si>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</si>
  <si>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</si>
  <si>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</si>
  <si>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</si>
  <si>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</si>
  <si>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</si>
  <si>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</si>
  <si>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</si>
  <si>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</si>
  <si>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</si>
  <si>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</si>
  <si>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</si>
  <si>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</si>
  <si>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</si>
  <si>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</si>
  <si>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</si>
  <si>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</si>
  <si>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</si>
  <si>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</si>
  <si>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</si>
  <si>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</si>
  <si>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</si>
  <si>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</si>
  <si>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</si>
  <si>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</si>
  <si>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</si>
  <si>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</si>
  <si>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</si>
  <si>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</si>
  <si>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</si>
  <si>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</si>
  <si>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</si>
  <si>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</si>
  <si>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</si>
  <si>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</si>
  <si>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</si>
  <si>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</si>
  <si>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</si>
  <si>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</si>
  <si>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</si>
  <si>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</si>
  <si>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</si>
  <si>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</si>
  <si>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</si>
  <si>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</si>
  <si>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</si>
  <si>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</si>
  <si>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</si>
  <si>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</si>
  <si>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</si>
  <si>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</si>
  <si>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</si>
  <si>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</si>
  <si>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</si>
  <si>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</si>
  <si>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</si>
  <si>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</si>
  <si>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</si>
  <si>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</si>
  <si>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</si>
  <si>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</si>
  <si>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</si>
  <si>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</si>
  <si>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</si>
  <si>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</si>
  <si>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</si>
  <si>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</si>
  <si>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</si>
  <si>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</si>
  <si>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</si>
  <si>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</si>
  <si>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</si>
  <si>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</si>
  <si>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</si>
  <si>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</si>
  <si>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</si>
  <si>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</si>
  <si>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</si>
  <si>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</si>
  <si>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</si>
  <si>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</si>
  <si>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</si>
  <si>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</si>
  <si>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</si>
  <si>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</si>
  <si>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</si>
  <si>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</si>
  <si>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</si>
  <si>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</si>
  <si>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</si>
  <si>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</si>
  <si>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</si>
  <si>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</si>
  <si>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</si>
  <si>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</si>
  <si>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</si>
  <si>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</si>
  <si>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</si>
  <si>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</si>
  <si>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</si>
  <si>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</si>
  <si>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</si>
  <si>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</si>
  <si>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</si>
  <si>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</si>
  <si>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</si>
  <si>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</si>
  <si>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</si>
  <si>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</si>
  <si>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</si>
  <si>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</si>
  <si>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</si>
  <si>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</si>
  <si>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</si>
  <si>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</si>
  <si>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</si>
  <si>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</si>
  <si>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</si>
  <si>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</si>
  <si>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</si>
  <si>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</si>
  <si>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</si>
  <si>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</si>
  <si>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</si>
  <si>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</si>
  <si>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</si>
  <si>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</si>
  <si>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</si>
  <si>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</si>
  <si>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</si>
  <si>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</si>
  <si>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</si>
  <si>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</si>
  <si>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</si>
  <si>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</si>
  <si>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</si>
  <si>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</si>
  <si>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</si>
  <si>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</si>
  <si>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</si>
  <si>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</si>
  <si>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</si>
  <si>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</si>
  <si>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</si>
  <si>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</si>
  <si>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</si>
  <si>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</si>
  <si>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</si>
  <si>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</si>
  <si>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</si>
  <si>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</si>
  <si>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</si>
  <si>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</si>
  <si>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</si>
  <si>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</si>
  <si>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</si>
  <si>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</si>
  <si>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</si>
  <si>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</si>
  <si>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</si>
  <si>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LOSS EXPENSES PAID                                      (ALAE AND ULAE)</t>
  </si>
  <si>
    <t>POLICY YEAR 2005</t>
  </si>
  <si>
    <t>JUNE 30, 2006</t>
  </si>
  <si>
    <t>NET EQUITY AT JUNE 30,  2006</t>
  </si>
  <si>
    <t>AT JUNE 30, 2006</t>
  </si>
  <si>
    <t xml:space="preserve">     NET EQUITY AT JUNE 30, 2006</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</si>
  <si>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</si>
  <si>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 xml:space="preserve">     CASH &amp; SHORT-TERM INVESTMENTS</t>
  </si>
  <si>
    <t xml:space="preserve">     EDP - EQUIPMENT &amp; SOFTWARE</t>
  </si>
  <si>
    <t>YTD PERIOD ENDED JUNE 30, 2006</t>
  </si>
  <si>
    <t>QTD PERIOD ENDED JUNE 30, 2006</t>
  </si>
  <si>
    <t>POLICY YEAR 2006</t>
  </si>
  <si>
    <t>POLICY YEAR 2002 &amp; PRIOR</t>
  </si>
  <si>
    <t>YTD PERIOD ENDING JUNE 30, 2006</t>
  </si>
  <si>
    <t>CURRENT LOSS EXPENSE RESERVES               @ 6-30-06</t>
  </si>
  <si>
    <t>PRIOR LOSS  EXPENSE RESERVES                     @ 12-31-05</t>
  </si>
  <si>
    <t>QTD PERIOD ENDING JUNE 30, 2006</t>
  </si>
  <si>
    <t>CURRENT LOSS EXPENSE RESERVES                @ 6-30-06</t>
  </si>
  <si>
    <t>PRIOR LOSS  EXPENSE RESERVES                     @ 3-31-06</t>
  </si>
  <si>
    <t>CURRENT CASE BASIS RESERVES (6-30-06)</t>
  </si>
  <si>
    <t>CURRENT I.B.N.R. RESERVES (6-30-06)</t>
  </si>
  <si>
    <t>PRIOR LOSS RESERVES (12-31-05)</t>
  </si>
  <si>
    <t>PRIOR LOSS RESERVES (3-31-06)</t>
  </si>
  <si>
    <t>Net of Salvage &amp; Subrogation Received</t>
  </si>
  <si>
    <t>(Including I.B.N.R. Reserves)</t>
  </si>
  <si>
    <t>CURRENT UNEARNED PREMIUM RESERVE              @ 6-30-06</t>
  </si>
  <si>
    <t>PRIOR UNEARNED PREMIUM RESERVE                     @ 12-31-05</t>
  </si>
  <si>
    <r>
      <t xml:space="preserve">                                           </t>
    </r>
    <r>
      <rPr>
        <b/>
        <sz val="9"/>
        <rFont val="Century Schoolbook"/>
        <family val="1"/>
      </rPr>
      <t xml:space="preserve">      1Q05</t>
    </r>
    <r>
      <rPr>
        <sz val="9"/>
        <rFont val="Century Schoolbook"/>
        <family val="1"/>
      </rPr>
      <t xml:space="preserve">          471,393</t>
    </r>
  </si>
  <si>
    <t>1Q06</t>
  </si>
  <si>
    <r>
      <t xml:space="preserve">                                           </t>
    </r>
    <r>
      <rPr>
        <b/>
        <sz val="9"/>
        <rFont val="Century Schoolbook"/>
        <family val="1"/>
      </rPr>
      <t xml:space="preserve">      2Q05</t>
    </r>
    <r>
      <rPr>
        <sz val="9"/>
        <rFont val="Century Schoolbook"/>
        <family val="1"/>
      </rPr>
      <t xml:space="preserve">          466,321</t>
    </r>
  </si>
  <si>
    <r>
      <t xml:space="preserve">                                           </t>
    </r>
    <r>
      <rPr>
        <b/>
        <sz val="9"/>
        <rFont val="Century Schoolbook"/>
        <family val="1"/>
      </rPr>
      <t xml:space="preserve">      3Q05</t>
    </r>
    <r>
      <rPr>
        <sz val="9"/>
        <rFont val="Century Schoolbook"/>
        <family val="1"/>
      </rPr>
      <t xml:space="preserve">          462,884</t>
    </r>
  </si>
  <si>
    <r>
      <t xml:space="preserve">                                           </t>
    </r>
    <r>
      <rPr>
        <b/>
        <sz val="9"/>
        <rFont val="Century Schoolbook"/>
        <family val="1"/>
      </rPr>
      <t xml:space="preserve">      4Q05</t>
    </r>
    <r>
      <rPr>
        <sz val="9"/>
        <rFont val="Century Schoolbook"/>
        <family val="1"/>
      </rPr>
      <t xml:space="preserve">          458,201</t>
    </r>
  </si>
  <si>
    <t>2Q06</t>
  </si>
  <si>
    <t>PRIOR UNEARNED PREMIUM RESERVE                     @ 3-31-06</t>
  </si>
  <si>
    <t>6-30-06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</si>
</sst>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992">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1"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41" fontId="7" fillId="0" borderId="0" xfId="0" applyNumberFormat="1" applyFont="1" applyBorder="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externalLink" Target="externalLinks/externalLink14.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Q06%20Flux%20Analysis%20(A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iuapdc\users\asatar\EXCEL\Miscellaneous\WRITTEN%20PREMIUM%20REVISED%2020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Q06%20Trial%20Balance%20(A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jiuapdc\users\asatar\EXCEL\Miscellaneous\2006%20FINANCIAL%20STATEMENTS\1Q06%20FINANCIAL%20STATEMENTS\1Q06%20Financial%20Statements%20(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paid Loss Reserves-13"/>
      <sheetName val="Unpaid Loss Expense Reserves-14"/>
      <sheetName val="Loss Expenses Paid QTD-15"/>
      <sheetName val="Loss Expenses Paid YTD-16"/>
    </sheetNames>
    <sheetDataSet>
      <sheetData sheetId="0">
        <row r="9">
          <cell r="B9">
            <v>0</v>
          </cell>
        </row>
        <row r="10">
          <cell r="B10">
            <v>4459</v>
          </cell>
        </row>
        <row r="11">
          <cell r="B11">
            <v>0</v>
          </cell>
        </row>
        <row r="16">
          <cell r="B16">
            <v>45738</v>
          </cell>
        </row>
        <row r="17">
          <cell r="B17">
            <v>0</v>
          </cell>
        </row>
        <row r="18">
          <cell r="B18">
            <v>0</v>
          </cell>
        </row>
        <row r="23">
          <cell r="B23">
            <v>121093.94</v>
          </cell>
        </row>
        <row r="24">
          <cell r="B24">
            <v>12758.06</v>
          </cell>
        </row>
        <row r="25">
          <cell r="B25">
            <v>0</v>
          </cell>
        </row>
        <row r="30">
          <cell r="B30">
            <v>203482.88</v>
          </cell>
        </row>
        <row r="31">
          <cell r="B31">
            <v>9678.16</v>
          </cell>
        </row>
        <row r="32">
          <cell r="B32">
            <v>199.96</v>
          </cell>
        </row>
        <row r="36">
          <cell r="B36">
            <v>650209.59</v>
          </cell>
        </row>
        <row r="37">
          <cell r="B37">
            <v>69999.41</v>
          </cell>
        </row>
        <row r="38">
          <cell r="B38">
            <v>0</v>
          </cell>
        </row>
      </sheetData>
      <sheetData sheetId="1">
        <row r="10">
          <cell r="B10">
            <v>716405</v>
          </cell>
          <cell r="C10">
            <v>2849364.1</v>
          </cell>
          <cell r="D10">
            <v>75980</v>
          </cell>
          <cell r="E10">
            <v>40000.65</v>
          </cell>
          <cell r="F10">
            <v>0</v>
          </cell>
        </row>
        <row r="11">
          <cell r="B11">
            <v>77125.79</v>
          </cell>
          <cell r="C11">
            <v>135523.01</v>
          </cell>
          <cell r="D11">
            <v>8005</v>
          </cell>
          <cell r="E11">
            <v>0</v>
          </cell>
          <cell r="F11">
            <v>3300</v>
          </cell>
        </row>
        <row r="12">
          <cell r="B12">
            <v>0</v>
          </cell>
          <cell r="C12">
            <v>2800</v>
          </cell>
          <cell r="D12">
            <v>0</v>
          </cell>
          <cell r="E12">
            <v>0</v>
          </cell>
          <cell r="F12">
            <v>0</v>
          </cell>
        </row>
        <row r="20">
          <cell r="G20">
            <v>436022</v>
          </cell>
        </row>
        <row r="27">
          <cell r="G27">
            <v>175394.61</v>
          </cell>
        </row>
        <row r="30">
          <cell r="B30">
            <v>136067.62</v>
          </cell>
          <cell r="C30">
            <v>337293.78</v>
          </cell>
          <cell r="D30">
            <v>61040.46</v>
          </cell>
          <cell r="E30">
            <v>35616.4</v>
          </cell>
          <cell r="F30">
            <v>0</v>
          </cell>
        </row>
        <row r="31">
          <cell r="B31">
            <v>14648.58</v>
          </cell>
          <cell r="C31">
            <v>16042.55</v>
          </cell>
          <cell r="D31">
            <v>6431.0199999999995</v>
          </cell>
          <cell r="E31">
            <v>0</v>
          </cell>
          <cell r="F31">
            <v>3944.75</v>
          </cell>
        </row>
        <row r="32">
          <cell r="B32">
            <v>0</v>
          </cell>
          <cell r="C32">
            <v>331.45</v>
          </cell>
          <cell r="D32">
            <v>0</v>
          </cell>
          <cell r="E32">
            <v>0</v>
          </cell>
          <cell r="F32">
            <v>0</v>
          </cell>
        </row>
      </sheetData>
      <sheetData sheetId="2">
        <row r="10">
          <cell r="E10">
            <v>695</v>
          </cell>
          <cell r="K10">
            <v>4434.65</v>
          </cell>
        </row>
        <row r="11">
          <cell r="E11">
            <v>0</v>
          </cell>
          <cell r="K11">
            <v>19.94</v>
          </cell>
        </row>
        <row r="12">
          <cell r="E12">
            <v>0</v>
          </cell>
          <cell r="K12">
            <v>0</v>
          </cell>
        </row>
        <row r="13">
          <cell r="C13">
            <v>1900.97</v>
          </cell>
          <cell r="I13">
            <v>2553.62</v>
          </cell>
        </row>
        <row r="16">
          <cell r="E16">
            <v>52155.35</v>
          </cell>
          <cell r="K16">
            <v>3040.26</v>
          </cell>
        </row>
        <row r="17">
          <cell r="K17">
            <v>1530</v>
          </cell>
        </row>
        <row r="18">
          <cell r="E18">
            <v>0</v>
          </cell>
          <cell r="K18">
            <v>0</v>
          </cell>
        </row>
        <row r="19">
          <cell r="C19">
            <v>2897.9</v>
          </cell>
          <cell r="I19">
            <v>1672.36</v>
          </cell>
        </row>
        <row r="22">
          <cell r="E22">
            <v>222312.11</v>
          </cell>
          <cell r="K22">
            <v>34083.95</v>
          </cell>
        </row>
        <row r="23">
          <cell r="E23">
            <v>20301.27</v>
          </cell>
          <cell r="K23">
            <v>4448.8</v>
          </cell>
        </row>
        <row r="24">
          <cell r="E24">
            <v>0</v>
          </cell>
          <cell r="K24">
            <v>0</v>
          </cell>
        </row>
        <row r="25">
          <cell r="C25">
            <v>18209.61</v>
          </cell>
          <cell r="I25">
            <v>20323.14</v>
          </cell>
        </row>
        <row r="28">
          <cell r="E28">
            <v>2649402.12</v>
          </cell>
          <cell r="K28">
            <v>214707.43</v>
          </cell>
        </row>
        <row r="29">
          <cell r="E29">
            <v>210152.34</v>
          </cell>
          <cell r="K29">
            <v>69004.1</v>
          </cell>
        </row>
        <row r="30">
          <cell r="E30">
            <v>4458.3</v>
          </cell>
          <cell r="K30">
            <v>714.9</v>
          </cell>
        </row>
        <row r="31">
          <cell r="C31">
            <v>180569.87</v>
          </cell>
          <cell r="I31">
            <v>103856.56</v>
          </cell>
        </row>
        <row r="34">
          <cell r="E34">
            <v>122810.06</v>
          </cell>
          <cell r="K34">
            <v>10656.78</v>
          </cell>
        </row>
        <row r="35">
          <cell r="E35">
            <v>24803.06</v>
          </cell>
          <cell r="K35">
            <v>10494.59</v>
          </cell>
        </row>
        <row r="36">
          <cell r="E36">
            <v>0</v>
          </cell>
          <cell r="K36">
            <v>0</v>
          </cell>
        </row>
        <row r="37">
          <cell r="C37">
            <v>17971.95</v>
          </cell>
          <cell r="I37">
            <v>3179.42</v>
          </cell>
        </row>
        <row r="43">
          <cell r="C43">
            <v>221550.3</v>
          </cell>
          <cell r="E43">
            <v>3307089.61</v>
          </cell>
          <cell r="I43">
            <v>131585.1</v>
          </cell>
        </row>
      </sheetData>
      <sheetData sheetId="3">
        <row r="10">
          <cell r="E10">
            <v>127064.25</v>
          </cell>
          <cell r="K10">
            <v>18568.550000000003</v>
          </cell>
        </row>
        <row r="11">
          <cell r="E11">
            <v>1000</v>
          </cell>
          <cell r="K11">
            <v>877.6</v>
          </cell>
        </row>
        <row r="12">
          <cell r="E12">
            <v>0</v>
          </cell>
          <cell r="K12">
            <v>0</v>
          </cell>
        </row>
        <row r="13">
          <cell r="C13">
            <v>11586.630000000001</v>
          </cell>
          <cell r="I13">
            <v>7859.52</v>
          </cell>
        </row>
        <row r="16">
          <cell r="E16">
            <v>58718.75</v>
          </cell>
          <cell r="K16">
            <v>3538.6800000000003</v>
          </cell>
        </row>
        <row r="17">
          <cell r="E17">
            <v>25150.37</v>
          </cell>
          <cell r="K17">
            <v>5317.15</v>
          </cell>
        </row>
        <row r="18">
          <cell r="E18">
            <v>0</v>
          </cell>
          <cell r="K18">
            <v>0</v>
          </cell>
        </row>
        <row r="19">
          <cell r="C19">
            <v>5862.35</v>
          </cell>
          <cell r="I19">
            <v>2993.48</v>
          </cell>
        </row>
        <row r="22">
          <cell r="E22">
            <v>963899.09</v>
          </cell>
          <cell r="K22">
            <v>93784.54999999999</v>
          </cell>
        </row>
        <row r="23">
          <cell r="E23">
            <v>55308.71</v>
          </cell>
          <cell r="K23">
            <v>16680.36</v>
          </cell>
        </row>
        <row r="24">
          <cell r="E24">
            <v>0</v>
          </cell>
          <cell r="K24">
            <v>0</v>
          </cell>
        </row>
        <row r="25">
          <cell r="C25">
            <v>57790.7</v>
          </cell>
          <cell r="I25">
            <v>52674.21</v>
          </cell>
        </row>
        <row r="28">
          <cell r="E28">
            <v>4675788.99</v>
          </cell>
          <cell r="K28">
            <v>404402.62</v>
          </cell>
        </row>
        <row r="29">
          <cell r="E29">
            <v>528171.34</v>
          </cell>
          <cell r="K29">
            <v>166526.84</v>
          </cell>
        </row>
        <row r="30">
          <cell r="E30">
            <v>4458.3</v>
          </cell>
          <cell r="K30">
            <v>1491.4</v>
          </cell>
        </row>
        <row r="31">
          <cell r="C31">
            <v>370901.95999999996</v>
          </cell>
          <cell r="I31">
            <v>201518.9</v>
          </cell>
        </row>
        <row r="34">
          <cell r="E34">
            <v>122810.06</v>
          </cell>
          <cell r="K34">
            <v>12027.98</v>
          </cell>
        </row>
        <row r="35">
          <cell r="E35">
            <v>36638.56</v>
          </cell>
          <cell r="K35">
            <v>13859.92</v>
          </cell>
        </row>
        <row r="36">
          <cell r="E36">
            <v>0</v>
          </cell>
          <cell r="K36">
            <v>0</v>
          </cell>
        </row>
        <row r="37">
          <cell r="C37">
            <v>22215.449999999997</v>
          </cell>
          <cell r="I37">
            <v>3672.45</v>
          </cell>
        </row>
        <row r="43">
          <cell r="C43">
            <v>468357.09</v>
          </cell>
          <cell r="E43">
            <v>6599008.419999999</v>
          </cell>
          <cell r="I43">
            <v>268718.56000000006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test"/>
      <sheetName val="1Q02 DATA"/>
      <sheetName val="2Q02 DATA"/>
      <sheetName val="3Q02 DATA"/>
      <sheetName val="4Q02 DATA"/>
      <sheetName val="1Q03 DATA"/>
      <sheetName val="2Q03 DATA QTD"/>
      <sheetName val="2Q03 DATA YTD"/>
      <sheetName val="3Q03 DATA QTD"/>
      <sheetName val="4Q03 DATA QTD"/>
      <sheetName val="1Q04"/>
      <sheetName val="2Q04"/>
      <sheetName val="3Q04"/>
      <sheetName val="4Q04"/>
      <sheetName val="1Q05"/>
      <sheetName val="2Q05"/>
      <sheetName val="3Q05"/>
      <sheetName val="4Q05"/>
      <sheetName val="1Q06"/>
      <sheetName val="2Q06"/>
    </sheetNames>
    <sheetDataSet>
      <sheetData sheetId="31">
        <row r="28">
          <cell r="G28">
            <v>440212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Q06 Trial Balance"/>
    </sheetNames>
    <sheetDataSet>
      <sheetData sheetId="0">
        <row r="17">
          <cell r="F17">
            <v>7183651.0200000005</v>
          </cell>
        </row>
        <row r="21">
          <cell r="F21">
            <v>9996302.17</v>
          </cell>
        </row>
        <row r="24">
          <cell r="F24">
            <v>169580.82</v>
          </cell>
        </row>
        <row r="27">
          <cell r="F27">
            <v>42.08</v>
          </cell>
        </row>
        <row r="35">
          <cell r="F35">
            <v>39960.83</v>
          </cell>
        </row>
        <row r="46">
          <cell r="E46">
            <v>-2201253</v>
          </cell>
        </row>
        <row r="47">
          <cell r="E47">
            <v>-613462</v>
          </cell>
        </row>
        <row r="48">
          <cell r="E48">
            <v>-5970</v>
          </cell>
        </row>
        <row r="50">
          <cell r="E50">
            <v>-6436187</v>
          </cell>
        </row>
        <row r="51">
          <cell r="E51">
            <v>-1783361</v>
          </cell>
        </row>
        <row r="52">
          <cell r="E52">
            <v>-17158</v>
          </cell>
        </row>
        <row r="133">
          <cell r="F133">
            <v>-15977.01</v>
          </cell>
        </row>
        <row r="141">
          <cell r="F141">
            <v>-116154.43</v>
          </cell>
        </row>
        <row r="150">
          <cell r="F150">
            <v>-310412.15</v>
          </cell>
        </row>
        <row r="179">
          <cell r="F179">
            <v>-394512.76999999996</v>
          </cell>
        </row>
        <row r="182">
          <cell r="F182">
            <v>-1864122</v>
          </cell>
        </row>
        <row r="185">
          <cell r="F185">
            <v>-589226</v>
          </cell>
        </row>
        <row r="190">
          <cell r="F190">
            <v>-453987</v>
          </cell>
        </row>
        <row r="196">
          <cell r="F196">
            <v>-160580.58</v>
          </cell>
        </row>
        <row r="204">
          <cell r="C204">
            <v>48681.96</v>
          </cell>
        </row>
        <row r="213">
          <cell r="C213">
            <v>366</v>
          </cell>
          <cell r="E213">
            <v>366</v>
          </cell>
        </row>
        <row r="214">
          <cell r="C214">
            <v>87</v>
          </cell>
          <cell r="E214">
            <v>87</v>
          </cell>
        </row>
        <row r="216">
          <cell r="C216">
            <v>2071</v>
          </cell>
          <cell r="E216">
            <v>6670</v>
          </cell>
        </row>
        <row r="217">
          <cell r="C217">
            <v>513</v>
          </cell>
          <cell r="E217">
            <v>2129</v>
          </cell>
        </row>
        <row r="219">
          <cell r="C219">
            <v>82017</v>
          </cell>
          <cell r="E219">
            <v>42083</v>
          </cell>
        </row>
        <row r="220">
          <cell r="C220">
            <v>20781</v>
          </cell>
          <cell r="E220">
            <v>-1213</v>
          </cell>
        </row>
        <row r="221">
          <cell r="C221">
            <v>189</v>
          </cell>
          <cell r="E221">
            <v>232</v>
          </cell>
        </row>
        <row r="223">
          <cell r="C223">
            <v>-4492090</v>
          </cell>
          <cell r="E223">
            <v>-8577861</v>
          </cell>
        </row>
        <row r="224">
          <cell r="C224">
            <v>-1268336</v>
          </cell>
          <cell r="E224">
            <v>-2369028</v>
          </cell>
        </row>
        <row r="225">
          <cell r="C225">
            <v>-12173</v>
          </cell>
          <cell r="E225">
            <v>-22774</v>
          </cell>
        </row>
        <row r="254">
          <cell r="D254">
            <v>-233345.26999999993</v>
          </cell>
          <cell r="F254">
            <v>-440960.18</v>
          </cell>
        </row>
        <row r="280">
          <cell r="D280">
            <v>-18438.34</v>
          </cell>
          <cell r="F280">
            <v>-55048.83</v>
          </cell>
        </row>
        <row r="282">
          <cell r="C282">
            <v>-42767.46</v>
          </cell>
          <cell r="E282">
            <v>-45100.79</v>
          </cell>
        </row>
        <row r="283">
          <cell r="C283">
            <v>-3273.33</v>
          </cell>
          <cell r="E283">
            <v>-10168.23</v>
          </cell>
        </row>
        <row r="285">
          <cell r="C285">
            <v>-3711.19</v>
          </cell>
          <cell r="E285">
            <v>-3711.19</v>
          </cell>
        </row>
        <row r="287">
          <cell r="C287">
            <v>-724.99</v>
          </cell>
          <cell r="E287">
            <v>-724.99</v>
          </cell>
        </row>
        <row r="288">
          <cell r="C288">
            <v>-8482.59</v>
          </cell>
          <cell r="E288">
            <v>-10968.43</v>
          </cell>
        </row>
        <row r="290">
          <cell r="D290">
            <v>-77397.90000000001</v>
          </cell>
          <cell r="F290">
            <v>-125722.45999999999</v>
          </cell>
        </row>
        <row r="431">
          <cell r="D431">
            <v>-45.3</v>
          </cell>
          <cell r="F431">
            <v>-45.3</v>
          </cell>
        </row>
        <row r="436">
          <cell r="D436">
            <v>-258.4</v>
          </cell>
          <cell r="F436">
            <v>-837.5</v>
          </cell>
        </row>
        <row r="443">
          <cell r="D443">
            <v>-9199.7</v>
          </cell>
          <cell r="F443">
            <v>-875.3</v>
          </cell>
        </row>
        <row r="450">
          <cell r="D450">
            <v>500184.64999999997</v>
          </cell>
          <cell r="F450">
            <v>968609.2999999999</v>
          </cell>
        </row>
        <row r="452">
          <cell r="D452">
            <v>490681.24999999994</v>
          </cell>
          <cell r="F452">
            <v>966851.1999999998</v>
          </cell>
        </row>
        <row r="455">
          <cell r="D455">
            <v>8925.59</v>
          </cell>
          <cell r="F455">
            <v>24847.43</v>
          </cell>
        </row>
        <row r="457">
          <cell r="D457">
            <v>3300</v>
          </cell>
          <cell r="F457">
            <v>6600</v>
          </cell>
        </row>
        <row r="459">
          <cell r="D459">
            <v>50666</v>
          </cell>
          <cell r="F459">
            <v>114453</v>
          </cell>
        </row>
        <row r="461">
          <cell r="D461">
            <v>62891.59</v>
          </cell>
          <cell r="F461">
            <v>145900.43</v>
          </cell>
        </row>
        <row r="723">
          <cell r="D723">
            <v>1146180.7500000007</v>
          </cell>
          <cell r="F723">
            <v>2168428.259999998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1Q06 Trial Balance"/>
      <sheetName val="Balance Sheet-1"/>
      <sheetName val="Income Statement-2"/>
      <sheetName val="(9)Equity YTD4"/>
      <sheetName val="Equity QTD-3"/>
      <sheetName val="Earned Incurred QTD-4"/>
      <sheetName val="(8)Earned Incurred YTD6"/>
      <sheetName val="(7)Premiums YTD8"/>
      <sheetName val="Premiums QTD-5"/>
      <sheetName val="Losses Incurred QTD-6"/>
      <sheetName val="Loss Expenses QTD-7"/>
      <sheetName val="IBNR Calculation-8"/>
      <sheetName val="ALAE &amp; ULAE Calculation-9"/>
      <sheetName val="Loss Expenses QTD-10"/>
      <sheetName val="(6)Losses Incurred YTD-p1"/>
      <sheetName val="(6)Losses Incurred YTD10"/>
      <sheetName val="(4)Loss Expenses YTD12"/>
      <sheetName val="IBNR JE2"/>
      <sheetName val="(1)ULEP-YTD17"/>
      <sheetName val="Business Summary"/>
    </sheetNames>
    <sheetDataSet>
      <sheetData sheetId="4">
        <row r="13">
          <cell r="D13">
            <v>970455.2300000001</v>
          </cell>
        </row>
      </sheetData>
      <sheetData sheetId="5">
        <row r="28">
          <cell r="C28">
            <v>-4607428.9</v>
          </cell>
        </row>
        <row r="34">
          <cell r="C34">
            <v>-3884251.76</v>
          </cell>
        </row>
      </sheetData>
      <sheetData sheetId="7">
        <row r="21">
          <cell r="G21">
            <v>28608.3</v>
          </cell>
        </row>
        <row r="33">
          <cell r="C33">
            <v>776199.41</v>
          </cell>
        </row>
        <row r="39">
          <cell r="B39">
            <v>4545630</v>
          </cell>
          <cell r="C39">
            <v>6527204</v>
          </cell>
          <cell r="D39">
            <v>0</v>
          </cell>
          <cell r="E39">
            <v>0</v>
          </cell>
          <cell r="F39">
            <v>0</v>
          </cell>
        </row>
        <row r="40">
          <cell r="B40">
            <v>474681</v>
          </cell>
          <cell r="C40">
            <v>4160459.92</v>
          </cell>
          <cell r="D40">
            <v>413547.31999999995</v>
          </cell>
          <cell r="E40">
            <v>98184.55</v>
          </cell>
          <cell r="F40">
            <v>0</v>
          </cell>
        </row>
        <row r="41">
          <cell r="B41">
            <v>57834.24</v>
          </cell>
          <cell r="C41">
            <v>407836.99999999994</v>
          </cell>
          <cell r="D41">
            <v>95345.32</v>
          </cell>
          <cell r="E41">
            <v>41530.74</v>
          </cell>
          <cell r="F41">
            <v>0</v>
          </cell>
        </row>
        <row r="42">
          <cell r="B42">
            <v>314400.39</v>
          </cell>
          <cell r="C42">
            <v>0</v>
          </cell>
          <cell r="D42">
            <v>0</v>
          </cell>
          <cell r="E42">
            <v>0</v>
          </cell>
          <cell r="F42">
            <v>0</v>
          </cell>
        </row>
        <row r="43">
          <cell r="B43">
            <v>47029.86</v>
          </cell>
          <cell r="C43">
            <v>0</v>
          </cell>
          <cell r="D43">
            <v>0</v>
          </cell>
          <cell r="E43">
            <v>0</v>
          </cell>
          <cell r="F43">
            <v>0</v>
          </cell>
        </row>
      </sheetData>
      <sheetData sheetId="8">
        <row r="33">
          <cell r="B33">
            <v>47029.86</v>
          </cell>
        </row>
        <row r="34">
          <cell r="B34">
            <v>56780.91</v>
          </cell>
        </row>
        <row r="41">
          <cell r="B41">
            <v>314400.39</v>
          </cell>
        </row>
        <row r="42">
          <cell r="B42">
            <v>246950.43</v>
          </cell>
        </row>
        <row r="49">
          <cell r="B49">
            <v>139436.98</v>
          </cell>
        </row>
        <row r="50">
          <cell r="B50">
            <v>114017.49</v>
          </cell>
        </row>
      </sheetData>
      <sheetData sheetId="11">
        <row r="15">
          <cell r="B15">
            <v>3574237</v>
          </cell>
          <cell r="C15">
            <v>5090945</v>
          </cell>
          <cell r="D15">
            <v>0</v>
          </cell>
          <cell r="E15">
            <v>0</v>
          </cell>
          <cell r="F15">
            <v>0</v>
          </cell>
        </row>
        <row r="16">
          <cell r="B16">
            <v>962058</v>
          </cell>
          <cell r="C16">
            <v>1422089</v>
          </cell>
          <cell r="D16">
            <v>0</v>
          </cell>
          <cell r="E16">
            <v>0</v>
          </cell>
          <cell r="F16">
            <v>0</v>
          </cell>
        </row>
        <row r="17">
          <cell r="B17">
            <v>9335</v>
          </cell>
          <cell r="C17">
            <v>14170</v>
          </cell>
          <cell r="D17">
            <v>0</v>
          </cell>
          <cell r="E17">
            <v>0</v>
          </cell>
          <cell r="F17">
            <v>0</v>
          </cell>
        </row>
        <row r="21">
          <cell r="B21">
            <v>0</v>
          </cell>
          <cell r="C21">
            <v>9003139</v>
          </cell>
          <cell r="D21">
            <v>0</v>
          </cell>
          <cell r="E21">
            <v>0</v>
          </cell>
          <cell r="F21">
            <v>0</v>
          </cell>
        </row>
        <row r="22">
          <cell r="B22">
            <v>0</v>
          </cell>
          <cell r="C22">
            <v>2510163</v>
          </cell>
          <cell r="D22">
            <v>0</v>
          </cell>
          <cell r="E22">
            <v>0</v>
          </cell>
          <cell r="F22">
            <v>0</v>
          </cell>
        </row>
        <row r="23">
          <cell r="B23">
            <v>0</v>
          </cell>
          <cell r="C23">
            <v>25694</v>
          </cell>
          <cell r="D23">
            <v>0</v>
          </cell>
          <cell r="E23">
            <v>0</v>
          </cell>
          <cell r="F23">
            <v>0</v>
          </cell>
        </row>
      </sheetData>
      <sheetData sheetId="12">
        <row r="29">
          <cell r="B29">
            <v>0</v>
          </cell>
          <cell r="C29">
            <v>3321077.15</v>
          </cell>
          <cell r="D29">
            <v>1177544.89</v>
          </cell>
          <cell r="E29">
            <v>82070.53</v>
          </cell>
          <cell r="F29">
            <v>174352.79</v>
          </cell>
        </row>
        <row r="30">
          <cell r="B30">
            <v>0</v>
          </cell>
          <cell r="C30">
            <v>405782.58</v>
          </cell>
          <cell r="D30">
            <v>104120.08</v>
          </cell>
          <cell r="E30">
            <v>50764.4</v>
          </cell>
          <cell r="F30">
            <v>2331.54</v>
          </cell>
        </row>
        <row r="31">
          <cell r="B31">
            <v>0</v>
          </cell>
          <cell r="C31">
            <v>0</v>
          </cell>
          <cell r="D31">
            <v>0</v>
          </cell>
          <cell r="E31">
            <v>0</v>
          </cell>
          <cell r="F31">
            <v>0</v>
          </cell>
        </row>
      </sheetData>
      <sheetData sheetId="13">
        <row r="16">
          <cell r="B16">
            <v>49572.77</v>
          </cell>
          <cell r="C16">
            <v>376231.54</v>
          </cell>
          <cell r="D16">
            <v>88211.05</v>
          </cell>
          <cell r="E16">
            <v>41530.74</v>
          </cell>
          <cell r="F16">
            <v>0</v>
          </cell>
        </row>
        <row r="17">
          <cell r="B17">
            <v>8261.47</v>
          </cell>
          <cell r="C17">
            <v>31321.98</v>
          </cell>
          <cell r="D17">
            <v>7134.27</v>
          </cell>
          <cell r="E17">
            <v>0</v>
          </cell>
          <cell r="F17">
            <v>0</v>
          </cell>
        </row>
        <row r="18">
          <cell r="B18">
            <v>0</v>
          </cell>
          <cell r="C18">
            <v>283.48</v>
          </cell>
          <cell r="D18">
            <v>0</v>
          </cell>
          <cell r="E18">
            <v>0</v>
          </cell>
          <cell r="F18">
            <v>0</v>
          </cell>
        </row>
        <row r="22">
          <cell r="B22">
            <v>0</v>
          </cell>
          <cell r="C22">
            <v>357420.75</v>
          </cell>
          <cell r="D22">
            <v>167154.49</v>
          </cell>
          <cell r="E22">
            <v>26431.18</v>
          </cell>
          <cell r="F22">
            <v>23998.83</v>
          </cell>
        </row>
        <row r="23">
          <cell r="B23">
            <v>0</v>
          </cell>
          <cell r="C23">
            <v>43671.1</v>
          </cell>
          <cell r="D23">
            <v>14780.02</v>
          </cell>
          <cell r="E23">
            <v>16348.91</v>
          </cell>
          <cell r="F23">
            <v>310.84</v>
          </cell>
        </row>
        <row r="24">
          <cell r="B24">
            <v>0</v>
          </cell>
          <cell r="C24">
            <v>0</v>
          </cell>
          <cell r="D24">
            <v>0</v>
          </cell>
          <cell r="E24">
            <v>0</v>
          </cell>
          <cell r="F2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20" t="s">
        <v>248</v>
      </c>
      <c r="B1" s="920"/>
      <c r="C1" s="920"/>
      <c r="D1" s="920"/>
      <c r="E1" s="920"/>
      <c r="F1" s="920"/>
      <c r="G1" s="920"/>
      <c r="H1" s="920"/>
      <c r="I1" s="920"/>
    </row>
    <row r="2" spans="1:7" s="20" customFormat="1" ht="18.75">
      <c r="A2" s="921"/>
      <c r="B2" s="921"/>
      <c r="C2" s="921"/>
      <c r="D2" s="921"/>
      <c r="E2" s="921"/>
      <c r="F2" s="370"/>
      <c r="G2" s="370"/>
    </row>
    <row r="3" spans="1:9" s="21" customFormat="1" ht="15">
      <c r="A3" s="922" t="s">
        <v>266</v>
      </c>
      <c r="B3" s="922"/>
      <c r="C3" s="922"/>
      <c r="D3" s="922"/>
      <c r="E3" s="922"/>
      <c r="F3" s="922"/>
      <c r="G3" s="922"/>
      <c r="H3" s="922"/>
      <c r="I3" s="922"/>
    </row>
    <row r="4" spans="1:9" s="21" customFormat="1" ht="15">
      <c r="A4" s="923" t="s">
        <v>147</v>
      </c>
      <c r="B4" s="923"/>
      <c r="C4" s="923"/>
      <c r="D4" s="923"/>
      <c r="E4" s="923"/>
      <c r="F4" s="923"/>
      <c r="G4" s="923"/>
      <c r="H4" s="923"/>
      <c r="I4" s="923"/>
    </row>
    <row r="5" spans="1:9" s="21" customFormat="1" ht="15">
      <c r="A5" s="634"/>
      <c r="B5" s="635"/>
      <c r="C5" s="635"/>
      <c r="D5" s="635"/>
      <c r="E5" s="635"/>
      <c r="F5" s="337"/>
      <c r="G5" s="337"/>
      <c r="H5" s="337"/>
      <c r="I5" s="337"/>
    </row>
    <row r="6" spans="1:7" ht="14.25">
      <c r="A6" s="22"/>
      <c r="B6" s="342"/>
      <c r="C6" s="342"/>
      <c r="F6" s="342"/>
      <c r="G6" s="342"/>
    </row>
    <row r="7" spans="2:9" ht="15">
      <c r="B7" s="636" t="s">
        <v>220</v>
      </c>
      <c r="C7" s="636"/>
      <c r="D7" s="636" t="s">
        <v>15</v>
      </c>
      <c r="E7" s="636"/>
      <c r="F7" s="636" t="s">
        <v>220</v>
      </c>
      <c r="G7" s="636"/>
      <c r="H7" s="636" t="s">
        <v>15</v>
      </c>
      <c r="I7" s="636"/>
    </row>
    <row r="8" spans="1:9" ht="15">
      <c r="A8" s="637"/>
      <c r="B8" s="508" t="s">
        <v>221</v>
      </c>
      <c r="C8" s="508"/>
      <c r="D8" s="508" t="s">
        <v>131</v>
      </c>
      <c r="E8" s="508"/>
      <c r="F8" s="508" t="s">
        <v>222</v>
      </c>
      <c r="G8" s="508"/>
      <c r="H8" s="508" t="s">
        <v>132</v>
      </c>
      <c r="I8" s="508"/>
    </row>
    <row r="9" spans="2:9" ht="15">
      <c r="B9" s="638"/>
      <c r="C9" s="639"/>
      <c r="D9" s="638"/>
      <c r="E9" s="640"/>
      <c r="F9" s="638"/>
      <c r="G9" s="640"/>
      <c r="H9" s="638"/>
      <c r="I9" s="640"/>
    </row>
    <row r="10" spans="1:9" ht="15">
      <c r="A10" s="637" t="s">
        <v>268</v>
      </c>
      <c r="B10" s="638"/>
      <c r="C10" s="640"/>
      <c r="D10" s="638"/>
      <c r="E10" s="640"/>
      <c r="F10" s="638"/>
      <c r="G10" s="640"/>
      <c r="H10" s="638"/>
      <c r="I10" s="640"/>
    </row>
    <row r="11" spans="1:9" ht="15">
      <c r="A11" s="637"/>
      <c r="B11" s="638"/>
      <c r="C11" s="640"/>
      <c r="D11" s="638"/>
      <c r="E11" s="640"/>
      <c r="F11" s="638"/>
      <c r="G11" s="640"/>
      <c r="H11" s="638"/>
      <c r="I11" s="640"/>
    </row>
    <row r="12" spans="1:9" ht="15">
      <c r="A12" s="18" t="s">
        <v>269</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270</v>
      </c>
      <c r="C14" s="489"/>
      <c r="E14" s="489"/>
      <c r="G14" s="489"/>
      <c r="I14" s="489"/>
    </row>
    <row r="15" spans="1:9" ht="14.25">
      <c r="A15" s="18" t="s">
        <v>271</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272</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273</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274</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95</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275</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379</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276</v>
      </c>
      <c r="C24" s="489"/>
      <c r="E24" s="489"/>
      <c r="G24" s="489"/>
      <c r="I24" s="489"/>
    </row>
    <row r="25" spans="1:9" ht="14.25">
      <c r="A25" s="18" t="s">
        <v>277</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380</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264</v>
      </c>
      <c r="C29" s="489"/>
      <c r="E29" s="489"/>
      <c r="G29" s="489"/>
      <c r="I29" s="489"/>
    </row>
    <row r="30" spans="1:9" ht="14.25">
      <c r="A30" s="18" t="s">
        <v>278</v>
      </c>
      <c r="C30" s="489">
        <f>'[9]Balance Sheet-p1'!$E$45</f>
        <v>-11338276.419999996</v>
      </c>
      <c r="E30" s="489">
        <f>'[9]Income Statement-p2'!$E$30</f>
        <v>-9552178.5</v>
      </c>
      <c r="G30" s="489">
        <f>+'[7]Income Statement (pg 2)'!$C$30</f>
        <v>-7427828.95</v>
      </c>
      <c r="I30" s="489">
        <v>-5217179.38</v>
      </c>
    </row>
    <row r="31" spans="1:9" ht="14.25">
      <c r="A31" s="18" t="s">
        <v>381</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279</v>
      </c>
      <c r="B32" s="145">
        <v>15024.93</v>
      </c>
      <c r="D32" s="127">
        <v>32458.12</v>
      </c>
      <c r="E32" s="489"/>
      <c r="F32" s="491">
        <f>+'[7]Income Statement (pg 2)'!$B$32</f>
        <v>16655</v>
      </c>
      <c r="G32" s="489"/>
      <c r="H32" s="127">
        <f>+'[7]Income Statement (pg 2)'!$D$32</f>
        <v>-287408.34</v>
      </c>
      <c r="I32" s="489"/>
    </row>
    <row r="33" spans="1:9" ht="14.25">
      <c r="A33" s="18" t="s">
        <v>67</v>
      </c>
      <c r="B33" s="127">
        <v>0</v>
      </c>
      <c r="D33" s="127">
        <f>-40790-4979.98-26-1710</f>
        <v>-47505.979999999996</v>
      </c>
      <c r="E33" s="489"/>
      <c r="F33" s="127">
        <v>0</v>
      </c>
      <c r="H33" s="492">
        <f>+'[7]Income Statement (pg 2)'!$D$33</f>
        <v>-25.57</v>
      </c>
      <c r="I33" s="489"/>
    </row>
    <row r="34" spans="1:9" ht="14.25">
      <c r="A34" s="18" t="s">
        <v>68</v>
      </c>
      <c r="B34" s="145">
        <v>0</v>
      </c>
      <c r="C34" s="489"/>
      <c r="D34" s="145">
        <v>0</v>
      </c>
      <c r="E34" s="489"/>
      <c r="F34" s="145" t="e">
        <f>+'[10]TB09-30-02(Final)'!I931</f>
        <v>#REF!</v>
      </c>
      <c r="G34" s="489"/>
      <c r="H34" s="145">
        <f>+'[7]Income Statement (pg 2)'!$D$34</f>
        <v>335155</v>
      </c>
      <c r="I34" s="489"/>
    </row>
    <row r="35" spans="1:9" ht="14.25">
      <c r="A35" s="18" t="s">
        <v>280</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223</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58" t="s">
        <v>248</v>
      </c>
      <c r="B1" s="959"/>
      <c r="C1" s="959"/>
      <c r="D1" s="960"/>
      <c r="E1" s="962"/>
      <c r="F1" s="962"/>
      <c r="G1" s="962"/>
      <c r="H1" s="963"/>
      <c r="I1" s="45"/>
      <c r="J1" s="45"/>
      <c r="K1" s="45"/>
      <c r="L1" s="45"/>
      <c r="M1" s="964"/>
      <c r="N1" s="962"/>
      <c r="O1" s="962"/>
      <c r="P1" s="963"/>
      <c r="Q1" s="964"/>
      <c r="R1" s="962"/>
      <c r="S1" s="962"/>
      <c r="T1" s="963"/>
      <c r="U1" s="964"/>
      <c r="V1" s="962"/>
      <c r="W1" s="962"/>
      <c r="X1" s="963"/>
      <c r="Y1" s="964"/>
      <c r="Z1" s="962"/>
      <c r="AA1" s="962"/>
      <c r="AB1" s="963"/>
      <c r="AC1" s="964"/>
      <c r="AD1" s="962"/>
      <c r="AE1" s="962"/>
      <c r="AF1" s="963"/>
      <c r="AG1" s="964"/>
      <c r="AH1" s="962"/>
      <c r="AI1" s="962"/>
      <c r="AJ1" s="963"/>
      <c r="AK1" s="964"/>
      <c r="AL1" s="962"/>
      <c r="AM1" s="962"/>
      <c r="AN1" s="963"/>
      <c r="AO1" s="964"/>
      <c r="AP1" s="962"/>
      <c r="AQ1" s="962"/>
      <c r="AR1" s="963"/>
      <c r="AS1" s="964"/>
      <c r="AT1" s="962"/>
      <c r="AU1" s="962"/>
      <c r="AV1" s="963"/>
      <c r="AW1" s="964"/>
      <c r="AX1" s="962"/>
      <c r="AY1" s="962"/>
      <c r="AZ1" s="963"/>
      <c r="BA1" s="964"/>
      <c r="BB1" s="962"/>
      <c r="BC1" s="962"/>
      <c r="BD1" s="963"/>
      <c r="BE1" s="964"/>
      <c r="BF1" s="962"/>
      <c r="BG1" s="962"/>
      <c r="BH1" s="963"/>
      <c r="BI1" s="964"/>
      <c r="BJ1" s="962"/>
      <c r="BK1" s="962"/>
      <c r="BL1" s="963"/>
      <c r="BM1" s="964"/>
      <c r="BN1" s="962"/>
      <c r="BO1" s="962"/>
      <c r="BP1" s="963"/>
      <c r="BQ1" s="964"/>
      <c r="BR1" s="962"/>
      <c r="BS1" s="962"/>
      <c r="BT1" s="963"/>
      <c r="BU1" s="964"/>
      <c r="BV1" s="962"/>
      <c r="BW1" s="962"/>
      <c r="BX1" s="963"/>
      <c r="BY1" s="964"/>
      <c r="BZ1" s="962"/>
      <c r="CA1" s="962"/>
      <c r="CB1" s="963"/>
      <c r="CC1" s="964"/>
      <c r="CD1" s="962"/>
      <c r="CE1" s="962"/>
      <c r="CF1" s="963"/>
      <c r="CG1" s="964"/>
      <c r="CH1" s="962"/>
      <c r="CI1" s="962"/>
      <c r="CJ1" s="963"/>
      <c r="CK1" s="964"/>
      <c r="CL1" s="962"/>
      <c r="CM1" s="962"/>
      <c r="CN1" s="963"/>
      <c r="CO1" s="964"/>
      <c r="CP1" s="962"/>
      <c r="CQ1" s="962"/>
      <c r="CR1" s="963"/>
      <c r="CS1" s="964"/>
      <c r="CT1" s="962"/>
      <c r="CU1" s="962"/>
      <c r="CV1" s="963"/>
      <c r="CW1" s="964"/>
      <c r="CX1" s="962"/>
      <c r="CY1" s="962"/>
      <c r="CZ1" s="963"/>
      <c r="DA1" s="964"/>
      <c r="DB1" s="962"/>
      <c r="DC1" s="962"/>
      <c r="DD1" s="963"/>
      <c r="DE1" s="964"/>
      <c r="DF1" s="962"/>
      <c r="DG1" s="962"/>
      <c r="DH1" s="963"/>
      <c r="DI1" s="964"/>
      <c r="DJ1" s="962"/>
      <c r="DK1" s="962"/>
      <c r="DL1" s="963"/>
      <c r="DM1" s="964"/>
      <c r="DN1" s="962"/>
      <c r="DO1" s="962"/>
      <c r="DP1" s="963"/>
      <c r="DQ1" s="964"/>
      <c r="DR1" s="962"/>
      <c r="DS1" s="962"/>
      <c r="DT1" s="963"/>
      <c r="DU1" s="964"/>
      <c r="DV1" s="962"/>
      <c r="DW1" s="962"/>
      <c r="DX1" s="963"/>
      <c r="DY1" s="964"/>
      <c r="DZ1" s="962"/>
      <c r="EA1" s="962"/>
      <c r="EB1" s="963"/>
      <c r="EC1" s="964"/>
      <c r="ED1" s="962"/>
      <c r="EE1" s="962"/>
      <c r="EF1" s="963"/>
      <c r="EG1" s="964"/>
      <c r="EH1" s="962"/>
      <c r="EI1" s="962"/>
      <c r="EJ1" s="963"/>
      <c r="EK1" s="964"/>
      <c r="EL1" s="962"/>
      <c r="EM1" s="962"/>
      <c r="EN1" s="963"/>
      <c r="EO1" s="964"/>
      <c r="EP1" s="962"/>
      <c r="EQ1" s="962"/>
      <c r="ER1" s="963"/>
      <c r="ES1" s="964"/>
      <c r="ET1" s="962"/>
      <c r="EU1" s="962"/>
      <c r="EV1" s="963"/>
      <c r="EW1" s="964"/>
      <c r="EX1" s="962"/>
      <c r="EY1" s="962"/>
      <c r="EZ1" s="963"/>
      <c r="FA1" s="964"/>
      <c r="FB1" s="962"/>
      <c r="FC1" s="962"/>
      <c r="FD1" s="963"/>
      <c r="FE1" s="964"/>
      <c r="FF1" s="962"/>
      <c r="FG1" s="962"/>
      <c r="FH1" s="963"/>
      <c r="FI1" s="964"/>
      <c r="FJ1" s="962"/>
      <c r="FK1" s="962"/>
      <c r="FL1" s="963"/>
      <c r="FM1" s="964"/>
      <c r="FN1" s="962"/>
      <c r="FO1" s="962"/>
      <c r="FP1" s="963"/>
      <c r="FQ1" s="964"/>
      <c r="FR1" s="962"/>
      <c r="FS1" s="962"/>
      <c r="FT1" s="963"/>
      <c r="FU1" s="964"/>
      <c r="FV1" s="962"/>
      <c r="FW1" s="962"/>
      <c r="FX1" s="963"/>
      <c r="FY1" s="964"/>
      <c r="FZ1" s="962"/>
      <c r="GA1" s="962"/>
      <c r="GB1" s="963"/>
      <c r="GC1" s="964"/>
      <c r="GD1" s="962"/>
      <c r="GE1" s="962"/>
      <c r="GF1" s="963"/>
      <c r="GG1" s="964"/>
      <c r="GH1" s="962"/>
      <c r="GI1" s="962"/>
      <c r="GJ1" s="963"/>
      <c r="GK1" s="964"/>
      <c r="GL1" s="962"/>
      <c r="GM1" s="962"/>
      <c r="GN1" s="963"/>
      <c r="GO1" s="964"/>
      <c r="GP1" s="962"/>
      <c r="GQ1" s="962"/>
      <c r="GR1" s="963"/>
      <c r="GS1" s="964"/>
      <c r="GT1" s="962"/>
      <c r="GU1" s="962"/>
      <c r="GV1" s="963"/>
      <c r="GW1" s="964"/>
      <c r="GX1" s="962"/>
      <c r="GY1" s="962"/>
      <c r="GZ1" s="963"/>
      <c r="HA1" s="964"/>
      <c r="HB1" s="962"/>
      <c r="HC1" s="962"/>
      <c r="HD1" s="963"/>
      <c r="HE1" s="964"/>
      <c r="HF1" s="962"/>
      <c r="HG1" s="962"/>
      <c r="HH1" s="963"/>
      <c r="HI1" s="964"/>
      <c r="HJ1" s="962"/>
      <c r="HK1" s="962"/>
      <c r="HL1" s="963"/>
      <c r="HM1" s="964"/>
      <c r="HN1" s="962"/>
      <c r="HO1" s="962"/>
      <c r="HP1" s="963"/>
      <c r="HQ1" s="964"/>
      <c r="HR1" s="962"/>
      <c r="HS1" s="962"/>
      <c r="HT1" s="963"/>
      <c r="HU1" s="964"/>
      <c r="HV1" s="962"/>
      <c r="HW1" s="962"/>
      <c r="HX1" s="963"/>
      <c r="HY1" s="964"/>
      <c r="HZ1" s="962"/>
      <c r="IA1" s="962"/>
      <c r="IB1" s="963"/>
      <c r="IC1" s="964"/>
      <c r="ID1" s="962"/>
      <c r="IE1" s="962"/>
      <c r="IF1" s="963"/>
      <c r="IG1" s="964"/>
      <c r="IH1" s="962"/>
      <c r="II1" s="962"/>
      <c r="IJ1" s="963"/>
      <c r="IK1" s="964"/>
      <c r="IL1" s="962"/>
      <c r="IM1" s="962"/>
      <c r="IN1" s="963"/>
      <c r="IO1" s="964"/>
      <c r="IP1" s="962"/>
      <c r="IQ1" s="962"/>
      <c r="IR1" s="963"/>
      <c r="IS1" s="964"/>
      <c r="IT1" s="962"/>
      <c r="IU1" s="962"/>
      <c r="IV1" s="963"/>
    </row>
    <row r="2" spans="1:6" s="45" customFormat="1" ht="18" customHeight="1">
      <c r="A2" s="935"/>
      <c r="B2" s="936"/>
      <c r="C2" s="936"/>
      <c r="D2" s="961"/>
      <c r="F2" s="288"/>
    </row>
    <row r="3" spans="1:6" s="45" customFormat="1" ht="18.75">
      <c r="A3" s="955" t="s">
        <v>211</v>
      </c>
      <c r="B3" s="956"/>
      <c r="C3" s="956"/>
      <c r="D3" s="957"/>
      <c r="F3" s="288"/>
    </row>
    <row r="4" spans="1:6" s="45" customFormat="1" ht="18.75">
      <c r="A4" s="955" t="s">
        <v>310</v>
      </c>
      <c r="B4" s="956"/>
      <c r="C4" s="956"/>
      <c r="D4" s="957"/>
      <c r="F4" s="288"/>
    </row>
    <row r="5" spans="1:6" s="45" customFormat="1" ht="18.75">
      <c r="A5" s="955" t="str">
        <f>+'(9)Equity YTD4'!A4</f>
        <v>YTD PERIOD MARCH 31st, 2004</v>
      </c>
      <c r="B5" s="956"/>
      <c r="C5" s="956"/>
      <c r="D5" s="957"/>
      <c r="F5" s="288"/>
    </row>
    <row r="6" spans="1:6" s="18" customFormat="1" ht="15" customHeight="1">
      <c r="A6" s="415"/>
      <c r="B6" s="519"/>
      <c r="C6" s="519"/>
      <c r="D6" s="520"/>
      <c r="F6" s="22"/>
    </row>
    <row r="7" spans="1:6" s="18" customFormat="1" ht="15">
      <c r="A7" s="416" t="s">
        <v>311</v>
      </c>
      <c r="B7" s="521" t="str">
        <f>+'Earned Incurred QTD-5'!B8</f>
        <v>6-30-06</v>
      </c>
      <c r="C7" s="522"/>
      <c r="D7" s="523"/>
      <c r="F7" s="289" t="s">
        <v>355</v>
      </c>
    </row>
    <row r="8" spans="1:6" s="18" customFormat="1" ht="15">
      <c r="A8" s="416"/>
      <c r="B8" s="524" t="s">
        <v>15</v>
      </c>
      <c r="C8" s="525"/>
      <c r="D8" s="526"/>
      <c r="F8" s="290" t="s">
        <v>186</v>
      </c>
    </row>
    <row r="9" spans="1:6" s="18" customFormat="1" ht="15">
      <c r="A9" s="417"/>
      <c r="B9" s="527" t="s">
        <v>258</v>
      </c>
      <c r="C9" s="528"/>
      <c r="D9" s="529"/>
      <c r="F9" s="22"/>
    </row>
    <row r="10" spans="1:6" s="18" customFormat="1" ht="15">
      <c r="A10" s="418" t="s">
        <v>312</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313</v>
      </c>
      <c r="B12" s="509" t="e">
        <f>'(7)Premiums YTD8'!G18</f>
        <v>#REF!</v>
      </c>
      <c r="C12" s="122"/>
      <c r="D12" s="510"/>
      <c r="F12" s="22"/>
    </row>
    <row r="13" spans="1:6" s="18" customFormat="1" ht="14.25">
      <c r="A13" s="419" t="s">
        <v>332</v>
      </c>
      <c r="B13" s="511">
        <v>8897126</v>
      </c>
      <c r="C13" s="122"/>
      <c r="D13" s="510"/>
      <c r="F13" s="22"/>
    </row>
    <row r="14" spans="1:6" s="18" customFormat="1" ht="15" customHeight="1">
      <c r="A14" s="419" t="s">
        <v>333</v>
      </c>
      <c r="B14" s="509"/>
      <c r="C14" s="512" t="e">
        <f>B13-B12</f>
        <v>#REF!</v>
      </c>
      <c r="D14" s="510"/>
      <c r="F14" s="22">
        <v>41100</v>
      </c>
    </row>
    <row r="15" spans="1:6" s="18" customFormat="1" ht="15" customHeight="1">
      <c r="A15" s="418" t="s">
        <v>334</v>
      </c>
      <c r="B15" s="509"/>
      <c r="C15" s="122"/>
      <c r="D15" s="563" t="e">
        <f>C10+C14</f>
        <v>#REF!</v>
      </c>
      <c r="E15" s="127" t="e">
        <f>+'(7)Premiums YTD8'!G30</f>
        <v>#REF!</v>
      </c>
      <c r="F15" s="22"/>
    </row>
    <row r="16" spans="1:6" s="18" customFormat="1" ht="14.25">
      <c r="A16" s="419" t="s">
        <v>335</v>
      </c>
      <c r="B16" s="509"/>
      <c r="C16" s="122">
        <f>+'[1]TB03-31-04(Final)'!G384</f>
        <v>3791762.3499999996</v>
      </c>
      <c r="D16" s="510"/>
      <c r="F16" s="22" t="s">
        <v>356</v>
      </c>
    </row>
    <row r="17" spans="1:6" s="18" customFormat="1" ht="14.25">
      <c r="A17" s="419" t="s">
        <v>336</v>
      </c>
      <c r="B17" s="509"/>
      <c r="C17" s="512">
        <f>-'[1]TB03-31-04(Final)'!G405+1</f>
        <v>8001.969999999999</v>
      </c>
      <c r="D17" s="510"/>
      <c r="F17" s="22">
        <v>51108</v>
      </c>
    </row>
    <row r="18" spans="1:6" s="18" customFormat="1" ht="15">
      <c r="A18" s="418" t="s">
        <v>337</v>
      </c>
      <c r="B18" s="509"/>
      <c r="C18" s="122">
        <f>C16-C17</f>
        <v>3783760.3799999994</v>
      </c>
      <c r="D18" s="510"/>
      <c r="F18" s="22"/>
    </row>
    <row r="19" spans="1:6" s="18" customFormat="1" ht="14.25">
      <c r="A19" s="419" t="s">
        <v>338</v>
      </c>
      <c r="B19" s="509" t="e">
        <f>'(6)Losses Incurred YTD10'!H18</f>
        <v>#REF!</v>
      </c>
      <c r="C19" s="122" t="s">
        <v>258</v>
      </c>
      <c r="D19" s="510"/>
      <c r="F19" s="22"/>
    </row>
    <row r="20" spans="1:6" s="18" customFormat="1" ht="14.25">
      <c r="A20" s="419" t="s">
        <v>339</v>
      </c>
      <c r="B20" s="511">
        <v>5587477</v>
      </c>
      <c r="C20" s="122"/>
      <c r="D20" s="510"/>
      <c r="F20" s="22"/>
    </row>
    <row r="21" spans="1:6" s="18" customFormat="1" ht="14.25">
      <c r="A21" s="419" t="s">
        <v>340</v>
      </c>
      <c r="B21" s="514"/>
      <c r="C21" s="512" t="e">
        <f>B19-B20</f>
        <v>#REF!</v>
      </c>
      <c r="D21" s="510"/>
      <c r="F21" s="22" t="s">
        <v>357</v>
      </c>
    </row>
    <row r="22" spans="1:6" s="18" customFormat="1" ht="15">
      <c r="A22" s="418" t="s">
        <v>341</v>
      </c>
      <c r="B22" s="509"/>
      <c r="C22" s="122"/>
      <c r="D22" s="510" t="e">
        <f>C18+C21</f>
        <v>#REF!</v>
      </c>
      <c r="E22" s="48" t="e">
        <f>+'(6)Losses Incurred YTD10'!H30</f>
        <v>#REF!</v>
      </c>
      <c r="F22" s="22"/>
    </row>
    <row r="23" spans="1:6" s="18" customFormat="1" ht="14.25">
      <c r="A23" s="419" t="s">
        <v>342</v>
      </c>
      <c r="B23" s="509"/>
      <c r="C23" s="122">
        <f>+'[1]TB03-31-04(Final)'!G486</f>
        <v>292907.87</v>
      </c>
      <c r="D23" s="510"/>
      <c r="E23" s="109"/>
      <c r="F23" s="22">
        <v>51200</v>
      </c>
    </row>
    <row r="24" spans="1:6" s="18" customFormat="1" ht="14.25">
      <c r="A24" s="419" t="s">
        <v>343</v>
      </c>
      <c r="B24" s="509"/>
      <c r="C24" s="512">
        <f>+'[1]TB03-31-04(Final)'!G547</f>
        <v>139421.58999999997</v>
      </c>
      <c r="D24" s="510"/>
      <c r="F24" s="22">
        <v>51300</v>
      </c>
    </row>
    <row r="25" spans="1:6" s="18" customFormat="1" ht="15">
      <c r="A25" s="418" t="s">
        <v>344</v>
      </c>
      <c r="B25" s="509"/>
      <c r="C25" s="122">
        <f>C23+C24</f>
        <v>432329.45999999996</v>
      </c>
      <c r="D25" s="510"/>
      <c r="F25" s="22"/>
    </row>
    <row r="26" spans="1:6" s="18" customFormat="1" ht="14.25">
      <c r="A26" s="419" t="s">
        <v>345</v>
      </c>
      <c r="B26" s="509" t="e">
        <f>'(4)Loss Expenses YTD12'!H18</f>
        <v>#REF!</v>
      </c>
      <c r="C26" s="122"/>
      <c r="D26" s="510"/>
      <c r="F26" s="22"/>
    </row>
    <row r="27" spans="1:9" s="18" customFormat="1" ht="14.25">
      <c r="A27" s="419" t="s">
        <v>346</v>
      </c>
      <c r="B27" s="511">
        <v>474837</v>
      </c>
      <c r="C27" s="122"/>
      <c r="D27" s="510"/>
      <c r="F27" s="22"/>
      <c r="I27" s="122">
        <f>31050</f>
        <v>31050</v>
      </c>
    </row>
    <row r="28" spans="1:9" s="18" customFormat="1" ht="14.25">
      <c r="A28" s="419" t="s">
        <v>347</v>
      </c>
      <c r="B28" s="509"/>
      <c r="C28" s="512" t="e">
        <f>B26-B27</f>
        <v>#REF!</v>
      </c>
      <c r="D28" s="510"/>
      <c r="F28" s="22" t="s">
        <v>358</v>
      </c>
      <c r="I28" s="122">
        <f>20347.1</f>
        <v>20347.1</v>
      </c>
    </row>
    <row r="29" spans="1:9" s="18" customFormat="1" ht="15">
      <c r="A29" s="418" t="s">
        <v>348</v>
      </c>
      <c r="B29" s="509"/>
      <c r="C29" s="122"/>
      <c r="D29" s="513" t="e">
        <f>C25+C28</f>
        <v>#REF!</v>
      </c>
      <c r="E29" s="48" t="e">
        <f>+'(4)Loss Expenses YTD12'!H30</f>
        <v>#REF!</v>
      </c>
      <c r="F29" s="22"/>
      <c r="I29" s="122">
        <f>6478.27</f>
        <v>6478.27</v>
      </c>
    </row>
    <row r="30" spans="1:9" s="18" customFormat="1" ht="15">
      <c r="A30" s="418" t="s">
        <v>349</v>
      </c>
      <c r="B30" s="509"/>
      <c r="C30" s="122"/>
      <c r="D30" s="515" t="e">
        <f>D22+D29</f>
        <v>#REF!</v>
      </c>
      <c r="F30" s="22"/>
      <c r="I30" s="122">
        <f>23108.63</f>
        <v>23108.63</v>
      </c>
    </row>
    <row r="31" spans="1:9" s="18" customFormat="1" ht="14.25">
      <c r="A31" s="419" t="s">
        <v>350</v>
      </c>
      <c r="B31" s="509"/>
      <c r="C31" s="122">
        <f>23108.63+6478.27+20347.1+10350+20700+1200+600</f>
        <v>82784</v>
      </c>
      <c r="D31" s="510"/>
      <c r="F31" s="22"/>
      <c r="I31" s="122">
        <f>SUM(I27:I30)</f>
        <v>80984</v>
      </c>
    </row>
    <row r="32" spans="1:6" s="18" customFormat="1" ht="14.25">
      <c r="A32" s="419" t="s">
        <v>351</v>
      </c>
      <c r="B32" s="509">
        <f>+'Balance Sheet-1'!D35</f>
        <v>15977.01</v>
      </c>
      <c r="C32" s="122"/>
      <c r="D32" s="510"/>
      <c r="F32" s="22">
        <v>24000</v>
      </c>
    </row>
    <row r="33" spans="1:6" s="18" customFormat="1" ht="14.25">
      <c r="A33" s="419" t="s">
        <v>352</v>
      </c>
      <c r="B33" s="511">
        <v>46320</v>
      </c>
      <c r="C33" s="122" t="s">
        <v>258</v>
      </c>
      <c r="D33" s="510"/>
      <c r="F33" s="22"/>
    </row>
    <row r="34" spans="1:6" s="18" customFormat="1" ht="14.25">
      <c r="A34" s="419" t="s">
        <v>353</v>
      </c>
      <c r="B34" s="509"/>
      <c r="C34" s="512">
        <f>B32-B33</f>
        <v>-30342.989999999998</v>
      </c>
      <c r="D34" s="510"/>
      <c r="F34" s="22"/>
    </row>
    <row r="35" spans="1:6" s="18" customFormat="1" ht="14.25" hidden="1">
      <c r="A35" s="419"/>
      <c r="B35" s="509"/>
      <c r="C35" s="122"/>
      <c r="D35" s="510"/>
      <c r="F35" s="22"/>
    </row>
    <row r="36" spans="1:10" s="18" customFormat="1" ht="15" customHeight="1">
      <c r="A36" s="418" t="s">
        <v>354</v>
      </c>
      <c r="B36" s="509"/>
      <c r="C36" s="122" t="s">
        <v>258</v>
      </c>
      <c r="D36" s="510">
        <f>SUM(C31:C35)</f>
        <v>52441.01</v>
      </c>
      <c r="E36" s="253">
        <f>+'[1]TB03-31-04(Final)'!G644</f>
        <v>22313.94</v>
      </c>
      <c r="F36" s="22">
        <v>64000</v>
      </c>
      <c r="I36" s="18">
        <v>97598.57</v>
      </c>
      <c r="J36" s="114">
        <f>+D36-I36</f>
        <v>-45157.560000000005</v>
      </c>
    </row>
    <row r="37" spans="1:6" s="18" customFormat="1" ht="13.5" customHeight="1">
      <c r="A37" s="410" t="s">
        <v>96</v>
      </c>
      <c r="B37" s="509"/>
      <c r="C37" s="127"/>
      <c r="D37" s="516">
        <f>+'[1]TB03-31-04(Final)'!G630</f>
        <v>528557.35</v>
      </c>
      <c r="F37" s="22" t="s">
        <v>359</v>
      </c>
    </row>
    <row r="38" spans="1:6" s="18" customFormat="1" ht="13.5" customHeight="1">
      <c r="A38" s="410" t="s">
        <v>213</v>
      </c>
      <c r="B38" s="509"/>
      <c r="C38" s="122">
        <f>+'[1]TB03-31-04(Final)'!G635+'[1]TB03-31-04(Final)'!G639+'[1]TB03-31-04(Final)'!G647</f>
        <v>108491.93</v>
      </c>
      <c r="D38" s="510"/>
      <c r="F38" s="22" t="s">
        <v>360</v>
      </c>
    </row>
    <row r="39" spans="1:9" s="18" customFormat="1" ht="14.25">
      <c r="A39" s="410" t="s">
        <v>142</v>
      </c>
      <c r="B39" s="509"/>
      <c r="C39" s="559">
        <f>+'[1]TB03-31-04(Final)'!G1005-'(8)Earned Incurred YTD6'!C43</f>
        <v>995251.8099999997</v>
      </c>
      <c r="D39" s="510"/>
      <c r="E39" s="120"/>
      <c r="F39" s="22" t="s">
        <v>361</v>
      </c>
      <c r="I39" s="148"/>
    </row>
    <row r="40" spans="1:9" s="18" customFormat="1" ht="15">
      <c r="A40" s="409" t="s">
        <v>143</v>
      </c>
      <c r="B40" s="509"/>
      <c r="C40" s="560">
        <f>SUM(C38:C39)-1</f>
        <v>1103742.7399999998</v>
      </c>
      <c r="D40" s="510"/>
      <c r="E40" s="120"/>
      <c r="F40" s="22"/>
      <c r="I40" s="148"/>
    </row>
    <row r="41" spans="1:6" s="18" customFormat="1" ht="14.25">
      <c r="A41" s="410" t="s">
        <v>351</v>
      </c>
      <c r="B41" s="509">
        <f>-'[1]TB03-31-04(Final)'!G217</f>
        <v>330321.9</v>
      </c>
      <c r="C41" s="122"/>
      <c r="D41" s="510"/>
      <c r="F41" s="22"/>
    </row>
    <row r="42" spans="1:6" s="18" customFormat="1" ht="14.25">
      <c r="A42" s="410" t="s">
        <v>352</v>
      </c>
      <c r="B42" s="511">
        <v>356304</v>
      </c>
      <c r="C42" s="122" t="s">
        <v>258</v>
      </c>
      <c r="D42" s="510"/>
      <c r="F42" s="22"/>
    </row>
    <row r="43" spans="1:6" s="18" customFormat="1" ht="14.25">
      <c r="A43" s="410" t="s">
        <v>144</v>
      </c>
      <c r="B43" s="509"/>
      <c r="C43" s="512">
        <f>B41-B42</f>
        <v>-25982.099999999977</v>
      </c>
      <c r="D43" s="510"/>
      <c r="E43" s="238">
        <f>+C38+C39+C43</f>
        <v>1077761.6399999997</v>
      </c>
      <c r="F43" s="22"/>
    </row>
    <row r="44" spans="1:6" s="18" customFormat="1" ht="15">
      <c r="A44" s="409" t="s">
        <v>212</v>
      </c>
      <c r="B44" s="509"/>
      <c r="C44" s="122"/>
      <c r="D44" s="513">
        <f>SUM(C40:C43)+2</f>
        <v>1077762.6399999997</v>
      </c>
      <c r="E44" s="120"/>
      <c r="F44" s="22"/>
    </row>
    <row r="45" spans="1:6" s="18" customFormat="1" ht="15">
      <c r="A45" s="409" t="s">
        <v>145</v>
      </c>
      <c r="B45" s="509"/>
      <c r="C45" s="122"/>
      <c r="D45" s="558">
        <f>SUM(D36:D44)</f>
        <v>1658760.9999999995</v>
      </c>
      <c r="E45" s="120"/>
      <c r="F45" s="22"/>
    </row>
    <row r="46" spans="1:10" s="18" customFormat="1" ht="30">
      <c r="A46" s="409" t="s">
        <v>146</v>
      </c>
      <c r="B46" s="509"/>
      <c r="C46" s="122"/>
      <c r="D46" s="517" t="e">
        <f>SUM(D30:D44)</f>
        <v>#REF!</v>
      </c>
      <c r="F46" s="22"/>
      <c r="I46" s="18">
        <v>22008562.28</v>
      </c>
      <c r="J46" s="114" t="e">
        <f>+D46-I46</f>
        <v>#REF!</v>
      </c>
    </row>
    <row r="47" spans="1:6" s="18" customFormat="1" ht="15">
      <c r="A47" s="418" t="s">
        <v>19</v>
      </c>
      <c r="B47" s="509"/>
      <c r="C47" s="122"/>
      <c r="D47" s="595" t="e">
        <f>D15-D46</f>
        <v>#REF!</v>
      </c>
      <c r="F47" s="22"/>
    </row>
    <row r="48" spans="1:6" s="18" customFormat="1" ht="14.25">
      <c r="A48" s="419" t="s">
        <v>194</v>
      </c>
      <c r="B48" s="509"/>
      <c r="C48" s="122">
        <f>-'[1]TB03-31-04(Final)'!G356-'[1]TB03-31-04(Final)'!G343-'[1]TB03-31-04(Final)'!F347+'(8)Earned Incurred YTD6'!B50</f>
        <v>44581.64</v>
      </c>
      <c r="D48" s="510"/>
      <c r="F48" s="22" t="s">
        <v>363</v>
      </c>
    </row>
    <row r="49" spans="1:6" s="18" customFormat="1" ht="14.25">
      <c r="A49" s="419" t="s">
        <v>368</v>
      </c>
      <c r="B49" s="509">
        <f>+'[1]TB03-31-04(Final)'!G25</f>
        <v>10038.47</v>
      </c>
      <c r="C49" s="122"/>
      <c r="D49" s="510"/>
      <c r="F49" s="22">
        <v>12150</v>
      </c>
    </row>
    <row r="50" spans="1:6" s="18" customFormat="1" ht="14.25">
      <c r="A50" s="419" t="s">
        <v>369</v>
      </c>
      <c r="B50" s="511">
        <v>17084</v>
      </c>
      <c r="C50" s="122" t="s">
        <v>258</v>
      </c>
      <c r="D50" s="510"/>
      <c r="F50" s="22"/>
    </row>
    <row r="51" spans="1:6" s="18" customFormat="1" ht="15">
      <c r="A51" s="419" t="s">
        <v>370</v>
      </c>
      <c r="B51" s="509"/>
      <c r="C51" s="512">
        <f>B49-B50</f>
        <v>-7045.530000000001</v>
      </c>
      <c r="D51" s="515"/>
      <c r="F51" s="22"/>
    </row>
    <row r="52" spans="1:9" s="18" customFormat="1" ht="15">
      <c r="A52" s="418" t="s">
        <v>195</v>
      </c>
      <c r="B52" s="509"/>
      <c r="C52" s="122"/>
      <c r="D52" s="518">
        <f>C48+C51</f>
        <v>37536.11</v>
      </c>
      <c r="E52" s="253">
        <f>+'[1]TB03-31-04(Final)'!G348</f>
        <v>-29950.73</v>
      </c>
      <c r="F52" s="22" t="s">
        <v>362</v>
      </c>
      <c r="I52" s="148"/>
    </row>
    <row r="53" spans="1:10" s="18" customFormat="1" ht="15">
      <c r="A53" s="420"/>
      <c r="B53" s="530"/>
      <c r="C53" s="357"/>
      <c r="D53" s="534"/>
      <c r="F53" s="22"/>
      <c r="J53" s="114"/>
    </row>
    <row r="54" spans="1:9" s="18" customFormat="1" ht="15">
      <c r="A54" s="421" t="s">
        <v>20</v>
      </c>
      <c r="B54" s="532"/>
      <c r="C54" s="533"/>
      <c r="D54" s="535" t="e">
        <f>D47+D52</f>
        <v>#REF!</v>
      </c>
      <c r="F54" s="22" t="s">
        <v>21</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65"/>
      <c r="B57" s="966"/>
      <c r="C57" s="966"/>
      <c r="D57" s="966"/>
      <c r="F57" s="22"/>
      <c r="J57" s="114"/>
    </row>
    <row r="58" spans="1:6" s="18" customFormat="1" ht="15">
      <c r="A58" s="144"/>
      <c r="B58" s="536"/>
      <c r="C58" s="537"/>
      <c r="D58" s="537"/>
      <c r="F58" s="22"/>
    </row>
    <row r="59" spans="1:6" s="18" customFormat="1" ht="15">
      <c r="A59" s="954" t="s">
        <v>72</v>
      </c>
      <c r="B59" s="954"/>
      <c r="C59" s="954"/>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248</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371</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39</v>
      </c>
      <c r="C7" s="444" t="s">
        <v>43</v>
      </c>
      <c r="D7" s="444" t="s">
        <v>139</v>
      </c>
      <c r="E7" s="444" t="s">
        <v>210</v>
      </c>
      <c r="F7" s="444" t="s">
        <v>94</v>
      </c>
      <c r="G7" s="445" t="s">
        <v>249</v>
      </c>
      <c r="H7" s="584"/>
    </row>
    <row r="8" spans="1:7" ht="15.75">
      <c r="A8" s="446" t="s">
        <v>372</v>
      </c>
      <c r="B8" s="447"/>
      <c r="C8" s="447"/>
      <c r="D8" s="447"/>
      <c r="E8" s="447"/>
      <c r="F8" s="447"/>
      <c r="G8" s="447"/>
    </row>
    <row r="9" spans="1:8" s="99" customFormat="1" ht="15">
      <c r="A9" s="447" t="s">
        <v>441</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386</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387</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376</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167</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441</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386</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387</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376</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200</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441</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386</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387</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376</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377</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398</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13</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399</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376</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67" t="s">
        <v>428</v>
      </c>
      <c r="B33" s="967"/>
      <c r="C33" s="967"/>
      <c r="D33" s="967"/>
      <c r="E33" s="967"/>
      <c r="F33" s="967"/>
      <c r="G33" s="967"/>
      <c r="H33" s="967"/>
    </row>
    <row r="34" spans="1:8" s="757" customFormat="1" ht="12.75">
      <c r="A34" s="967"/>
      <c r="B34" s="967"/>
      <c r="C34" s="967"/>
      <c r="D34" s="967"/>
      <c r="E34" s="967"/>
      <c r="F34" s="967"/>
      <c r="G34" s="967"/>
      <c r="H34" s="967"/>
    </row>
    <row r="35" spans="1:8" s="757" customFormat="1" ht="12.75">
      <c r="A35" s="967"/>
      <c r="B35" s="967"/>
      <c r="C35" s="967"/>
      <c r="D35" s="967"/>
      <c r="E35" s="967"/>
      <c r="F35" s="967"/>
      <c r="G35" s="967"/>
      <c r="H35" s="967"/>
    </row>
    <row r="36" spans="1:8" s="757" customFormat="1" ht="12.75">
      <c r="A36" s="756"/>
      <c r="B36" s="756"/>
      <c r="C36" s="756"/>
      <c r="D36" s="756"/>
      <c r="E36" s="756"/>
      <c r="F36" s="756"/>
      <c r="G36" s="756"/>
      <c r="H36" s="756"/>
    </row>
    <row r="37" spans="2:4" s="757" customFormat="1" ht="12" customHeight="1">
      <c r="B37" s="758"/>
      <c r="C37" s="968" t="s">
        <v>429</v>
      </c>
      <c r="D37" s="968" t="s">
        <v>430</v>
      </c>
    </row>
    <row r="38" spans="2:4" s="757" customFormat="1" ht="12" customHeight="1">
      <c r="B38" s="759" t="s">
        <v>314</v>
      </c>
      <c r="C38" s="968"/>
      <c r="D38" s="968"/>
    </row>
    <row r="39" spans="1:7" s="757" customFormat="1" ht="12" customHeight="1">
      <c r="A39" s="760" t="s">
        <v>431</v>
      </c>
      <c r="B39" s="763">
        <v>478783</v>
      </c>
      <c r="C39" s="763">
        <v>1343200</v>
      </c>
      <c r="D39" s="763">
        <f>B39+C39</f>
        <v>1821983</v>
      </c>
      <c r="E39" s="761"/>
      <c r="F39" s="761"/>
      <c r="G39" s="761"/>
    </row>
    <row r="40" spans="1:7" s="757" customFormat="1" ht="12" customHeight="1">
      <c r="A40" s="760" t="s">
        <v>32</v>
      </c>
      <c r="B40" s="764">
        <v>487924</v>
      </c>
      <c r="C40" s="764">
        <v>1418672</v>
      </c>
      <c r="D40" s="764">
        <f>B40+C40</f>
        <v>1906596</v>
      </c>
      <c r="E40" s="761"/>
      <c r="F40" s="761"/>
      <c r="G40" s="761"/>
    </row>
    <row r="41" spans="1:7" s="757" customFormat="1" ht="12" customHeight="1">
      <c r="A41" s="760" t="s">
        <v>202</v>
      </c>
      <c r="B41" s="764">
        <v>509815</v>
      </c>
      <c r="C41" s="764">
        <v>1518349</v>
      </c>
      <c r="D41" s="764">
        <f>B41+C41</f>
        <v>2028164</v>
      </c>
      <c r="E41" s="761"/>
      <c r="F41" s="761"/>
      <c r="G41" s="761"/>
    </row>
    <row r="42" spans="1:7" s="757" customFormat="1" ht="12" customHeight="1">
      <c r="A42" s="760" t="s">
        <v>2</v>
      </c>
      <c r="B42" s="764">
        <v>508338</v>
      </c>
      <c r="C42" s="764">
        <v>1585267</v>
      </c>
      <c r="D42" s="764">
        <f>B42+C42</f>
        <v>2093605</v>
      </c>
      <c r="E42" s="761"/>
      <c r="F42" s="761"/>
      <c r="G42" s="761"/>
    </row>
    <row r="43" spans="1:7" s="757" customFormat="1" ht="12" customHeight="1" thickBot="1">
      <c r="A43" s="760" t="s">
        <v>58</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67" t="s">
        <v>432</v>
      </c>
      <c r="B45" s="967"/>
      <c r="C45" s="967"/>
      <c r="D45" s="967"/>
      <c r="E45" s="967"/>
      <c r="F45" s="967"/>
      <c r="G45" s="967"/>
      <c r="H45" s="967"/>
    </row>
    <row r="46" spans="1:8" s="757" customFormat="1" ht="12.75">
      <c r="A46" s="967"/>
      <c r="B46" s="967"/>
      <c r="C46" s="967"/>
      <c r="D46" s="967"/>
      <c r="E46" s="967"/>
      <c r="F46" s="967"/>
      <c r="G46" s="967"/>
      <c r="H46" s="967"/>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7" customWidth="1"/>
    <col min="5" max="5" width="15.7109375" style="341" customWidth="1"/>
    <col min="6" max="16384" width="15.7109375" style="21" customWidth="1"/>
  </cols>
  <sheetData>
    <row r="1" spans="1:5" s="263" customFormat="1" ht="30" customHeight="1">
      <c r="A1" s="948" t="s">
        <v>248</v>
      </c>
      <c r="B1" s="949"/>
      <c r="C1" s="949"/>
      <c r="D1" s="950"/>
      <c r="E1" s="769"/>
    </row>
    <row r="2" spans="1:5" s="45" customFormat="1" ht="15" customHeight="1">
      <c r="A2" s="951"/>
      <c r="B2" s="952"/>
      <c r="C2" s="952"/>
      <c r="D2" s="953"/>
      <c r="E2" s="770"/>
    </row>
    <row r="3" spans="1:5" s="45" customFormat="1" ht="15" customHeight="1">
      <c r="A3" s="916" t="s">
        <v>211</v>
      </c>
      <c r="B3" s="917"/>
      <c r="C3" s="917"/>
      <c r="D3" s="947"/>
      <c r="E3" s="770"/>
    </row>
    <row r="4" spans="1:5" s="45" customFormat="1" ht="15" customHeight="1">
      <c r="A4" s="916" t="s">
        <v>310</v>
      </c>
      <c r="B4" s="917"/>
      <c r="C4" s="917"/>
      <c r="D4" s="947"/>
      <c r="E4" s="770"/>
    </row>
    <row r="5" spans="1:5" s="45" customFormat="1" ht="15" customHeight="1">
      <c r="A5" s="916" t="s">
        <v>478</v>
      </c>
      <c r="B5" s="917"/>
      <c r="C5" s="917"/>
      <c r="D5" s="947"/>
      <c r="E5" s="770"/>
    </row>
    <row r="6" spans="1:5" s="45" customFormat="1" ht="15" customHeight="1">
      <c r="A6" s="405"/>
      <c r="B6" s="789"/>
      <c r="C6" s="789"/>
      <c r="D6" s="790"/>
      <c r="E6" s="770"/>
    </row>
    <row r="7" spans="1:5" s="18" customFormat="1" ht="15" customHeight="1">
      <c r="A7" s="406"/>
      <c r="B7" s="789"/>
      <c r="C7" s="789"/>
      <c r="D7" s="790"/>
      <c r="E7" s="127"/>
    </row>
    <row r="8" spans="1:5" s="18" customFormat="1" ht="15" customHeight="1">
      <c r="A8" s="407" t="s">
        <v>311</v>
      </c>
      <c r="B8" s="885" t="s">
        <v>499</v>
      </c>
      <c r="C8" s="886"/>
      <c r="D8" s="887"/>
      <c r="E8" s="127"/>
    </row>
    <row r="9" spans="1:5" s="18" customFormat="1" ht="15" customHeight="1">
      <c r="A9" s="407"/>
      <c r="B9" s="888" t="s">
        <v>15</v>
      </c>
      <c r="C9" s="889"/>
      <c r="D9" s="890"/>
      <c r="E9" s="127"/>
    </row>
    <row r="10" spans="1:5" s="18" customFormat="1" ht="15" customHeight="1">
      <c r="A10" s="408"/>
      <c r="B10" s="791" t="s">
        <v>258</v>
      </c>
      <c r="C10" s="792"/>
      <c r="D10" s="905"/>
      <c r="E10" s="127"/>
    </row>
    <row r="11" spans="1:5" s="18" customFormat="1" ht="15" customHeight="1">
      <c r="A11" s="409" t="s">
        <v>312</v>
      </c>
      <c r="B11" s="509"/>
      <c r="C11" s="477">
        <f>'Premiums YTD-8'!G11</f>
        <v>10919309</v>
      </c>
      <c r="D11" s="905"/>
      <c r="E11" s="127"/>
    </row>
    <row r="12" spans="1:5" s="18" customFormat="1" ht="15" customHeight="1">
      <c r="A12" s="409"/>
      <c r="B12" s="509"/>
      <c r="C12" s="485"/>
      <c r="D12" s="905"/>
      <c r="E12" s="127"/>
    </row>
    <row r="13" spans="1:5" s="18" customFormat="1" ht="15" customHeight="1">
      <c r="A13" s="410" t="s">
        <v>313</v>
      </c>
      <c r="B13" s="509">
        <f>'Premiums YTD-8'!G17</f>
        <v>11057391</v>
      </c>
      <c r="C13" s="122"/>
      <c r="D13" s="905"/>
      <c r="E13" s="127"/>
    </row>
    <row r="14" spans="1:5" s="18" customFormat="1" ht="15" customHeight="1">
      <c r="A14" s="410" t="s">
        <v>332</v>
      </c>
      <c r="B14" s="511">
        <f>'Premiums YTD-8'!G23</f>
        <v>11538996</v>
      </c>
      <c r="C14" s="122"/>
      <c r="D14" s="905"/>
      <c r="E14" s="127"/>
    </row>
    <row r="15" spans="1:5" s="18" customFormat="1" ht="15" customHeight="1">
      <c r="A15" s="410" t="s">
        <v>333</v>
      </c>
      <c r="B15" s="509"/>
      <c r="C15" s="512">
        <f>B14-B13</f>
        <v>481605</v>
      </c>
      <c r="D15" s="905"/>
      <c r="E15" s="127"/>
    </row>
    <row r="16" spans="1:5" s="18" customFormat="1" ht="15" customHeight="1">
      <c r="A16" s="409" t="s">
        <v>334</v>
      </c>
      <c r="B16" s="509"/>
      <c r="C16" s="122"/>
      <c r="D16" s="907">
        <f>C11+C15</f>
        <v>11400914</v>
      </c>
      <c r="E16" s="127"/>
    </row>
    <row r="17" spans="1:4" s="18" customFormat="1" ht="15" customHeight="1">
      <c r="A17" s="410" t="s">
        <v>335</v>
      </c>
      <c r="B17" s="509"/>
      <c r="C17" s="122">
        <f>'[11]Loss Expenses Paid YTD-16'!E43</f>
        <v>6599008.419999999</v>
      </c>
      <c r="D17" s="905"/>
    </row>
    <row r="18" spans="1:4" s="18" customFormat="1" ht="15" customHeight="1">
      <c r="A18" s="410" t="s">
        <v>73</v>
      </c>
      <c r="B18" s="509"/>
      <c r="C18" s="512">
        <f>-'[13]2Q06 Trial Balance'!F290</f>
        <v>125722.45999999999</v>
      </c>
      <c r="D18" s="905"/>
    </row>
    <row r="19" spans="1:5" s="18" customFormat="1" ht="15" customHeight="1">
      <c r="A19" s="409" t="s">
        <v>337</v>
      </c>
      <c r="B19" s="509"/>
      <c r="C19" s="122">
        <f>C17-C18</f>
        <v>6473285.959999999</v>
      </c>
      <c r="D19" s="905"/>
      <c r="E19" s="127"/>
    </row>
    <row r="20" spans="1:5" s="18" customFormat="1" ht="15" customHeight="1">
      <c r="A20" s="410" t="s">
        <v>338</v>
      </c>
      <c r="B20" s="509">
        <f>'Losses Incurred YTD-10'!G19+'Losses Incurred YTD-10'!G25</f>
        <v>5026122.55</v>
      </c>
      <c r="C20" s="122" t="s">
        <v>258</v>
      </c>
      <c r="D20" s="905"/>
      <c r="E20" s="127"/>
    </row>
    <row r="21" spans="1:5" s="18" customFormat="1" ht="15" customHeight="1">
      <c r="A21" s="410" t="s">
        <v>339</v>
      </c>
      <c r="B21" s="511">
        <f>'Losses Incurred YTD-10'!G32</f>
        <v>5318044.960000001</v>
      </c>
      <c r="C21" s="122"/>
      <c r="D21" s="905"/>
      <c r="E21" s="127"/>
    </row>
    <row r="22" spans="1:5" s="18" customFormat="1" ht="15" customHeight="1">
      <c r="A22" s="410" t="s">
        <v>340</v>
      </c>
      <c r="B22" s="514"/>
      <c r="C22" s="512">
        <f>B20-B21</f>
        <v>-291922.4100000011</v>
      </c>
      <c r="D22" s="905"/>
      <c r="E22" s="127"/>
    </row>
    <row r="23" spans="1:6" s="18" customFormat="1" ht="15" customHeight="1">
      <c r="A23" s="409" t="s">
        <v>341</v>
      </c>
      <c r="B23" s="509"/>
      <c r="C23" s="122"/>
      <c r="D23" s="905">
        <f>C19+C22</f>
        <v>6181363.549999998</v>
      </c>
      <c r="E23" s="122"/>
      <c r="F23" s="114"/>
    </row>
    <row r="24" spans="1:5" s="18" customFormat="1" ht="15" customHeight="1">
      <c r="A24" s="410" t="s">
        <v>342</v>
      </c>
      <c r="B24" s="509"/>
      <c r="C24" s="122">
        <f>'[11]Loss Expenses Paid YTD-16'!C43</f>
        <v>468357.09</v>
      </c>
      <c r="D24" s="905"/>
      <c r="E24" s="334"/>
    </row>
    <row r="25" spans="1:5" s="18" customFormat="1" ht="15" customHeight="1">
      <c r="A25" s="410" t="s">
        <v>343</v>
      </c>
      <c r="B25" s="509"/>
      <c r="C25" s="512">
        <f>'[11]Loss Expenses Paid YTD-16'!I43+1</f>
        <v>268719.56000000006</v>
      </c>
      <c r="D25" s="905"/>
      <c r="E25" s="334"/>
    </row>
    <row r="26" spans="1:5" s="18" customFormat="1" ht="15" customHeight="1">
      <c r="A26" s="409" t="s">
        <v>344</v>
      </c>
      <c r="B26" s="509"/>
      <c r="C26" s="122">
        <f>C24+C25</f>
        <v>737076.6500000001</v>
      </c>
      <c r="D26" s="905"/>
      <c r="E26" s="122"/>
    </row>
    <row r="27" spans="1:5" s="18" customFormat="1" ht="15" customHeight="1">
      <c r="A27" s="410" t="s">
        <v>345</v>
      </c>
      <c r="B27" s="509">
        <f>'Loss Expenses YTD-12'!G18</f>
        <v>611416.61</v>
      </c>
      <c r="C27" s="122"/>
      <c r="D27" s="905"/>
      <c r="E27" s="334"/>
    </row>
    <row r="28" spans="1:5" s="18" customFormat="1" ht="15" customHeight="1">
      <c r="A28" s="410" t="s">
        <v>346</v>
      </c>
      <c r="B28" s="511">
        <f>'Loss Expenses YTD-12'!G24</f>
        <v>650116.12</v>
      </c>
      <c r="C28" s="122"/>
      <c r="D28" s="905"/>
      <c r="E28" s="122"/>
    </row>
    <row r="29" spans="1:7" s="18" customFormat="1" ht="15" customHeight="1">
      <c r="A29" s="410" t="s">
        <v>347</v>
      </c>
      <c r="B29" s="509"/>
      <c r="C29" s="512">
        <f>B27-B28+1</f>
        <v>-38698.51000000001</v>
      </c>
      <c r="D29" s="905"/>
      <c r="E29" s="334"/>
      <c r="G29" s="114"/>
    </row>
    <row r="30" spans="1:6" s="18" customFormat="1" ht="15" customHeight="1">
      <c r="A30" s="409" t="s">
        <v>348</v>
      </c>
      <c r="B30" s="509"/>
      <c r="C30" s="122"/>
      <c r="D30" s="906">
        <f>C26+C29</f>
        <v>698378.1400000001</v>
      </c>
      <c r="E30" s="122"/>
      <c r="F30" s="114"/>
    </row>
    <row r="31" spans="1:6" s="18" customFormat="1" ht="15" customHeight="1">
      <c r="A31" s="409" t="s">
        <v>349</v>
      </c>
      <c r="B31" s="509"/>
      <c r="C31" s="122"/>
      <c r="D31" s="908">
        <f>D23+D30</f>
        <v>6879741.689999998</v>
      </c>
      <c r="E31" s="122"/>
      <c r="F31" s="114"/>
    </row>
    <row r="32" spans="1:6" s="18" customFormat="1" ht="15" customHeight="1">
      <c r="A32" s="410" t="s">
        <v>350</v>
      </c>
      <c r="B32" s="509"/>
      <c r="C32" s="122">
        <f>'Equity QTD-3'!G21+'[14]Equity QTD-3'!$G$21</f>
        <v>81757.7</v>
      </c>
      <c r="D32" s="905"/>
      <c r="E32" s="334"/>
      <c r="F32" s="114"/>
    </row>
    <row r="33" spans="1:7" s="18" customFormat="1" ht="15" customHeight="1">
      <c r="A33" s="410" t="s">
        <v>351</v>
      </c>
      <c r="B33" s="509">
        <f>-'[13]2Q06 Trial Balance'!F133</f>
        <v>15977.01</v>
      </c>
      <c r="C33" s="122"/>
      <c r="D33" s="905"/>
      <c r="E33" s="127"/>
      <c r="G33" s="114"/>
    </row>
    <row r="34" spans="1:7" s="18" customFormat="1" ht="15" customHeight="1">
      <c r="A34" s="410" t="s">
        <v>352</v>
      </c>
      <c r="B34" s="511">
        <f>'[14]Earned Incurred QTD-4'!$B$34</f>
        <v>56780.91</v>
      </c>
      <c r="C34" s="122" t="s">
        <v>258</v>
      </c>
      <c r="D34" s="905"/>
      <c r="E34" s="127"/>
      <c r="G34" s="114"/>
    </row>
    <row r="35" spans="1:5" s="18" customFormat="1" ht="15" customHeight="1">
      <c r="A35" s="410" t="s">
        <v>56</v>
      </c>
      <c r="B35" s="509"/>
      <c r="C35" s="512">
        <f>B33-B34</f>
        <v>-40803.9</v>
      </c>
      <c r="D35" s="905"/>
      <c r="E35" s="127"/>
    </row>
    <row r="36" spans="1:6" s="18" customFormat="1" ht="15" customHeight="1">
      <c r="A36" s="409" t="s">
        <v>57</v>
      </c>
      <c r="B36" s="509"/>
      <c r="C36" s="122" t="s">
        <v>258</v>
      </c>
      <c r="D36" s="905">
        <f>C32+C35</f>
        <v>40953.799999999996</v>
      </c>
      <c r="E36" s="127"/>
      <c r="F36" s="114"/>
    </row>
    <row r="37" spans="1:5" s="18" customFormat="1" ht="15" customHeight="1">
      <c r="A37" s="410" t="s">
        <v>455</v>
      </c>
      <c r="B37" s="509"/>
      <c r="C37" s="122">
        <f>'[13]2Q06 Trial Balance'!F452</f>
        <v>966851.1999999998</v>
      </c>
      <c r="D37" s="905"/>
      <c r="E37" s="127"/>
    </row>
    <row r="38" spans="1:5" s="18" customFormat="1" ht="15" customHeight="1">
      <c r="A38" s="410" t="s">
        <v>434</v>
      </c>
      <c r="B38" s="509"/>
      <c r="C38" s="122">
        <f>'[13]2Q06 Trial Balance'!F461</f>
        <v>145900.43</v>
      </c>
      <c r="D38" s="905"/>
      <c r="E38" s="771"/>
    </row>
    <row r="39" spans="1:6" s="18" customFormat="1" ht="15" customHeight="1">
      <c r="A39" s="410" t="s">
        <v>142</v>
      </c>
      <c r="B39" s="509"/>
      <c r="C39" s="512">
        <f>'[13]2Q06 Trial Balance'!F723-C43</f>
        <v>2104966.5399999977</v>
      </c>
      <c r="D39" s="905"/>
      <c r="E39" s="771"/>
      <c r="F39" s="127"/>
    </row>
    <row r="40" spans="1:6" s="18" customFormat="1" ht="15" customHeight="1">
      <c r="A40" s="409" t="s">
        <v>143</v>
      </c>
      <c r="B40" s="509"/>
      <c r="C40" s="122">
        <f>SUM(C37:C39)</f>
        <v>3217718.1699999976</v>
      </c>
      <c r="D40" s="905"/>
      <c r="E40" s="771"/>
      <c r="F40" s="127"/>
    </row>
    <row r="41" spans="1:5" s="18" customFormat="1" ht="15" customHeight="1">
      <c r="A41" s="410" t="s">
        <v>351</v>
      </c>
      <c r="B41" s="509">
        <f>-'[13]2Q06 Trial Balance'!F150</f>
        <v>310412.15</v>
      </c>
      <c r="C41" s="122"/>
      <c r="D41" s="905"/>
      <c r="E41" s="771"/>
    </row>
    <row r="42" spans="1:5" s="18" customFormat="1" ht="15" customHeight="1">
      <c r="A42" s="410" t="s">
        <v>352</v>
      </c>
      <c r="B42" s="511">
        <f>'[14]Earned Incurred QTD-4'!$B$42</f>
        <v>246950.43</v>
      </c>
      <c r="C42" s="122" t="s">
        <v>258</v>
      </c>
      <c r="D42" s="905"/>
      <c r="E42" s="127"/>
    </row>
    <row r="43" spans="1:5" s="18" customFormat="1" ht="15" customHeight="1">
      <c r="A43" s="410" t="s">
        <v>144</v>
      </c>
      <c r="B43" s="509"/>
      <c r="C43" s="512">
        <f>+B41-B42</f>
        <v>63461.72000000003</v>
      </c>
      <c r="D43" s="905"/>
      <c r="E43" s="127"/>
    </row>
    <row r="44" spans="1:6" s="18" customFormat="1" ht="15" customHeight="1">
      <c r="A44" s="409" t="s">
        <v>212</v>
      </c>
      <c r="B44" s="509"/>
      <c r="C44" s="122"/>
      <c r="D44" s="906">
        <f>SUM(C40:C43)</f>
        <v>3281179.889999998</v>
      </c>
      <c r="E44" s="127"/>
      <c r="F44" s="127"/>
    </row>
    <row r="45" spans="1:6" s="18" customFormat="1" ht="15" customHeight="1">
      <c r="A45" s="409" t="s">
        <v>145</v>
      </c>
      <c r="B45" s="509"/>
      <c r="C45" s="122"/>
      <c r="D45" s="909">
        <f>SUM(D36:D44)</f>
        <v>3322133.6899999976</v>
      </c>
      <c r="E45" s="127"/>
      <c r="F45" s="120"/>
    </row>
    <row r="46" spans="1:6" s="18" customFormat="1" ht="15" customHeight="1">
      <c r="A46" s="409" t="s">
        <v>146</v>
      </c>
      <c r="B46" s="509"/>
      <c r="C46" s="122"/>
      <c r="D46" s="907">
        <f>+D31+D45+1</f>
        <v>10201876.379999995</v>
      </c>
      <c r="E46" s="127"/>
      <c r="F46" s="120"/>
    </row>
    <row r="47" spans="1:6" s="18" customFormat="1" ht="15" customHeight="1">
      <c r="A47" s="409" t="s">
        <v>459</v>
      </c>
      <c r="B47" s="509"/>
      <c r="C47" s="122"/>
      <c r="D47" s="908">
        <f>D16-D31-D45-1</f>
        <v>1199037.6200000048</v>
      </c>
      <c r="E47" s="48"/>
      <c r="F47" s="127"/>
    </row>
    <row r="48" spans="1:6" s="18" customFormat="1" ht="15" customHeight="1">
      <c r="A48" s="410" t="s">
        <v>194</v>
      </c>
      <c r="B48" s="509"/>
      <c r="C48" s="122">
        <f>-'[13]2Q06 Trial Balance'!F254-C51+1</f>
        <v>385396.85</v>
      </c>
      <c r="D48" s="905"/>
      <c r="E48" s="114"/>
      <c r="F48" s="114"/>
    </row>
    <row r="49" spans="1:5" s="18" customFormat="1" ht="15" customHeight="1">
      <c r="A49" s="410" t="s">
        <v>368</v>
      </c>
      <c r="B49" s="509">
        <f>'[13]2Q06 Trial Balance'!F24</f>
        <v>169580.82</v>
      </c>
      <c r="C49" s="122"/>
      <c r="D49" s="905"/>
      <c r="E49" s="127"/>
    </row>
    <row r="50" spans="1:5" s="18" customFormat="1" ht="15" customHeight="1">
      <c r="A50" s="410" t="s">
        <v>369</v>
      </c>
      <c r="B50" s="511">
        <f>'[14]Earned Incurred QTD-4'!$B$50</f>
        <v>114017.49</v>
      </c>
      <c r="C50" s="122" t="s">
        <v>258</v>
      </c>
      <c r="D50" s="905"/>
      <c r="E50" s="127"/>
    </row>
    <row r="51" spans="1:5" s="18" customFormat="1" ht="15" customHeight="1">
      <c r="A51" s="410" t="s">
        <v>370</v>
      </c>
      <c r="B51" s="509"/>
      <c r="C51" s="512">
        <f>B49-B50+1</f>
        <v>55564.33</v>
      </c>
      <c r="D51" s="905"/>
      <c r="E51" s="127"/>
    </row>
    <row r="52" spans="1:5" s="18" customFormat="1" ht="15" customHeight="1">
      <c r="A52" s="409" t="s">
        <v>195</v>
      </c>
      <c r="B52" s="509"/>
      <c r="C52" s="122"/>
      <c r="D52" s="906">
        <f>C48+C51</f>
        <v>440961.18</v>
      </c>
      <c r="E52" s="127"/>
    </row>
    <row r="53" spans="1:6" s="18" customFormat="1" ht="15" customHeight="1">
      <c r="A53" s="411"/>
      <c r="B53" s="509"/>
      <c r="C53" s="122"/>
      <c r="D53" s="905"/>
      <c r="E53" s="127"/>
      <c r="F53" s="114"/>
    </row>
    <row r="54" spans="1:6" s="18" customFormat="1" ht="15" customHeight="1">
      <c r="A54" s="412" t="s">
        <v>460</v>
      </c>
      <c r="B54" s="511"/>
      <c r="C54" s="512"/>
      <c r="D54" s="907">
        <f>D47+D52</f>
        <v>1639998.8000000047</v>
      </c>
      <c r="E54" s="48"/>
      <c r="F54" s="340"/>
    </row>
    <row r="55" spans="1:5" s="18" customFormat="1" ht="15" customHeight="1">
      <c r="A55" s="413"/>
      <c r="B55" s="794"/>
      <c r="C55" s="794"/>
      <c r="D55" s="912"/>
      <c r="E55" s="25"/>
    </row>
    <row r="56" spans="1:5" s="18" customFormat="1" ht="15" customHeight="1">
      <c r="A56" s="413"/>
      <c r="B56" s="794"/>
      <c r="C56" s="794"/>
      <c r="D56" s="25"/>
      <c r="E56" s="122"/>
    </row>
    <row r="57" spans="1:5" s="18" customFormat="1" ht="15" customHeight="1">
      <c r="A57" s="47"/>
      <c r="B57" s="793"/>
      <c r="C57" s="793"/>
      <c r="D57" s="793"/>
      <c r="E57" s="127"/>
    </row>
    <row r="58" spans="1:5" s="18" customFormat="1" ht="15" customHeight="1">
      <c r="A58" s="47"/>
      <c r="B58" s="793"/>
      <c r="C58" s="793"/>
      <c r="D58" s="793"/>
      <c r="E58" s="127"/>
    </row>
    <row r="59" spans="1:5" s="18" customFormat="1" ht="15" customHeight="1">
      <c r="A59" s="47"/>
      <c r="B59" s="793"/>
      <c r="C59" s="793"/>
      <c r="D59" s="793"/>
      <c r="E59" s="127"/>
    </row>
    <row r="60" spans="1:5" s="18" customFormat="1" ht="15" customHeight="1">
      <c r="A60" s="47"/>
      <c r="B60" s="793"/>
      <c r="C60" s="793"/>
      <c r="D60" s="793"/>
      <c r="E60" s="127"/>
    </row>
    <row r="61" spans="1:5" s="18" customFormat="1" ht="15" customHeight="1">
      <c r="A61" s="47"/>
      <c r="B61" s="793"/>
      <c r="C61" s="793"/>
      <c r="D61" s="793"/>
      <c r="E61" s="127"/>
    </row>
    <row r="62" spans="1:5" s="18" customFormat="1" ht="15" customHeight="1">
      <c r="A62" s="47"/>
      <c r="B62" s="793"/>
      <c r="C62" s="793"/>
      <c r="D62" s="793"/>
      <c r="E62" s="127"/>
    </row>
    <row r="63" spans="1:5" s="18" customFormat="1" ht="15" customHeight="1">
      <c r="A63" s="47"/>
      <c r="B63" s="793"/>
      <c r="C63" s="793"/>
      <c r="D63" s="793"/>
      <c r="E63" s="127"/>
    </row>
    <row r="64" spans="1:5" s="18" customFormat="1" ht="15" customHeight="1">
      <c r="A64" s="47"/>
      <c r="B64" s="795"/>
      <c r="C64" s="793"/>
      <c r="D64" s="793"/>
      <c r="E64" s="127"/>
    </row>
    <row r="65" spans="1:5" s="18" customFormat="1" ht="15" customHeight="1">
      <c r="A65" s="47"/>
      <c r="B65" s="795"/>
      <c r="C65" s="793"/>
      <c r="D65" s="793"/>
      <c r="E65" s="127"/>
    </row>
    <row r="66" spans="1:5" s="18" customFormat="1" ht="15" customHeight="1">
      <c r="A66" s="47"/>
      <c r="B66" s="795"/>
      <c r="C66" s="793"/>
      <c r="D66" s="793"/>
      <c r="E66" s="127"/>
    </row>
    <row r="67" spans="1:5" s="18" customFormat="1" ht="15" customHeight="1">
      <c r="A67" s="47"/>
      <c r="B67" s="795"/>
      <c r="C67" s="844"/>
      <c r="D67" s="793"/>
      <c r="E67" s="127"/>
    </row>
    <row r="68" spans="1:5" s="18" customFormat="1" ht="15" customHeight="1">
      <c r="A68" s="47"/>
      <c r="B68" s="795"/>
      <c r="C68" s="793"/>
      <c r="D68" s="793"/>
      <c r="E68" s="127"/>
    </row>
    <row r="69" spans="2:5" s="18" customFormat="1" ht="15" customHeight="1">
      <c r="B69" s="795"/>
      <c r="C69" s="793"/>
      <c r="D69" s="793"/>
      <c r="E69" s="127"/>
    </row>
    <row r="70" spans="1:5" s="18" customFormat="1" ht="15" customHeight="1">
      <c r="A70" s="47"/>
      <c r="B70" s="795"/>
      <c r="C70" s="793"/>
      <c r="D70" s="793"/>
      <c r="E70" s="127"/>
    </row>
    <row r="71" spans="1:5" s="18" customFormat="1" ht="15" customHeight="1">
      <c r="A71" s="47"/>
      <c r="B71" s="795"/>
      <c r="C71" s="793"/>
      <c r="D71" s="793"/>
      <c r="E71" s="127"/>
    </row>
    <row r="72" spans="1:5" s="18" customFormat="1" ht="15" customHeight="1">
      <c r="A72" s="47"/>
      <c r="B72" s="796"/>
      <c r="C72" s="793"/>
      <c r="D72" s="793"/>
      <c r="E72" s="127"/>
    </row>
    <row r="73" spans="1:5" s="18" customFormat="1" ht="15" customHeight="1">
      <c r="A73" s="47"/>
      <c r="B73" s="793"/>
      <c r="C73" s="844"/>
      <c r="D73" s="793"/>
      <c r="E73" s="127"/>
    </row>
    <row r="74" spans="1:5" s="18" customFormat="1" ht="15" customHeight="1">
      <c r="A74" s="47"/>
      <c r="B74" s="793"/>
      <c r="C74" s="793"/>
      <c r="D74" s="793"/>
      <c r="E74" s="127"/>
    </row>
    <row r="75" spans="1:5" s="18" customFormat="1" ht="15" customHeight="1">
      <c r="A75" s="47"/>
      <c r="B75" s="793"/>
      <c r="C75" s="793"/>
      <c r="D75" s="793"/>
      <c r="E75" s="127"/>
    </row>
    <row r="76" spans="1:5" s="18" customFormat="1" ht="15" customHeight="1">
      <c r="A76" s="47"/>
      <c r="B76" s="793"/>
      <c r="C76" s="793"/>
      <c r="D76" s="793"/>
      <c r="E76" s="127"/>
    </row>
    <row r="77" spans="1:5" s="18" customFormat="1" ht="15" customHeight="1">
      <c r="A77" s="47"/>
      <c r="B77" s="793"/>
      <c r="C77" s="793"/>
      <c r="D77" s="793"/>
      <c r="E77" s="127"/>
    </row>
    <row r="78" spans="1:5" s="18" customFormat="1" ht="15" customHeight="1">
      <c r="A78" s="47"/>
      <c r="B78" s="793"/>
      <c r="C78" s="793"/>
      <c r="D78" s="793"/>
      <c r="E78" s="127"/>
    </row>
    <row r="79" spans="1:5" s="18" customFormat="1" ht="15" customHeight="1">
      <c r="A79" s="47"/>
      <c r="B79" s="793"/>
      <c r="C79" s="793"/>
      <c r="D79" s="793"/>
      <c r="E79" s="127"/>
    </row>
    <row r="80" spans="1:5" s="18" customFormat="1" ht="15" customHeight="1">
      <c r="A80" s="47"/>
      <c r="B80" s="793"/>
      <c r="C80" s="793"/>
      <c r="D80" s="793"/>
      <c r="E80" s="127"/>
    </row>
    <row r="81" spans="1:5" s="18" customFormat="1" ht="15" customHeight="1">
      <c r="A81" s="47"/>
      <c r="B81" s="793"/>
      <c r="C81" s="793"/>
      <c r="D81" s="793"/>
      <c r="E81" s="127"/>
    </row>
    <row r="82" spans="1:5" s="18" customFormat="1" ht="15" customHeight="1">
      <c r="A82" s="47"/>
      <c r="B82" s="793"/>
      <c r="C82" s="793"/>
      <c r="D82" s="793"/>
      <c r="E82" s="127"/>
    </row>
    <row r="83" spans="1:5" s="18" customFormat="1" ht="15" customHeight="1">
      <c r="A83" s="47"/>
      <c r="B83" s="793"/>
      <c r="C83" s="793"/>
      <c r="D83" s="793"/>
      <c r="E83" s="127"/>
    </row>
    <row r="84" spans="1:5" s="18" customFormat="1" ht="15" customHeight="1">
      <c r="A84" s="47"/>
      <c r="B84" s="793"/>
      <c r="C84" s="793"/>
      <c r="D84" s="793"/>
      <c r="E84" s="127"/>
    </row>
    <row r="85" spans="1:5" s="18" customFormat="1" ht="15" customHeight="1">
      <c r="A85" s="47"/>
      <c r="B85" s="793"/>
      <c r="C85" s="793"/>
      <c r="D85" s="793"/>
      <c r="E85" s="127"/>
    </row>
    <row r="86" spans="1:5" s="18" customFormat="1" ht="15" customHeight="1">
      <c r="A86" s="47"/>
      <c r="B86" s="793"/>
      <c r="C86" s="793"/>
      <c r="D86" s="793"/>
      <c r="E86" s="127"/>
    </row>
    <row r="87" spans="1:5" s="18" customFormat="1" ht="15" customHeight="1">
      <c r="A87" s="47"/>
      <c r="B87" s="793"/>
      <c r="C87" s="793"/>
      <c r="D87" s="793"/>
      <c r="E87" s="127"/>
    </row>
    <row r="88" spans="1:5" s="18" customFormat="1" ht="15" customHeight="1">
      <c r="A88" s="47"/>
      <c r="B88" s="793"/>
      <c r="C88" s="793"/>
      <c r="D88" s="793"/>
      <c r="E88" s="127"/>
    </row>
    <row r="89" spans="1:5" s="18" customFormat="1" ht="15" customHeight="1">
      <c r="A89" s="47"/>
      <c r="B89" s="793"/>
      <c r="C89" s="796"/>
      <c r="D89" s="796"/>
      <c r="E89" s="127"/>
    </row>
    <row r="90" spans="1:5" s="18" customFormat="1" ht="15" customHeight="1">
      <c r="A90" s="47"/>
      <c r="B90" s="793"/>
      <c r="C90" s="796"/>
      <c r="D90" s="796"/>
      <c r="E90" s="127"/>
    </row>
    <row r="91" spans="1:5" s="18" customFormat="1" ht="15" customHeight="1">
      <c r="A91" s="47"/>
      <c r="B91" s="793"/>
      <c r="C91" s="796"/>
      <c r="D91" s="796"/>
      <c r="E91" s="127"/>
    </row>
    <row r="92" spans="1:5" s="18" customFormat="1" ht="15" customHeight="1">
      <c r="A92" s="47"/>
      <c r="B92" s="796"/>
      <c r="C92" s="796"/>
      <c r="D92" s="796"/>
      <c r="E92" s="127"/>
    </row>
    <row r="93" spans="1:5" s="18" customFormat="1" ht="15" customHeight="1">
      <c r="A93" s="47"/>
      <c r="B93" s="796"/>
      <c r="C93" s="796"/>
      <c r="D93" s="796"/>
      <c r="E93" s="127"/>
    </row>
    <row r="94" spans="1:5" s="18" customFormat="1" ht="15" customHeight="1">
      <c r="A94" s="47"/>
      <c r="B94" s="796"/>
      <c r="C94" s="796"/>
      <c r="D94" s="796"/>
      <c r="E94" s="127"/>
    </row>
    <row r="95" spans="1:5" s="18" customFormat="1" ht="15" customHeight="1">
      <c r="A95" s="47"/>
      <c r="B95" s="796"/>
      <c r="C95" s="796"/>
      <c r="D95" s="796"/>
      <c r="E95" s="127"/>
    </row>
    <row r="96" spans="1:5" s="18" customFormat="1" ht="15" customHeight="1">
      <c r="A96" s="47"/>
      <c r="B96" s="796"/>
      <c r="C96" s="796"/>
      <c r="D96" s="796"/>
      <c r="E96" s="127"/>
    </row>
    <row r="97" spans="1:5" s="18" customFormat="1" ht="15" customHeight="1">
      <c r="A97" s="47"/>
      <c r="B97" s="796"/>
      <c r="C97" s="796"/>
      <c r="D97" s="796"/>
      <c r="E97" s="127"/>
    </row>
    <row r="98" spans="1:5" s="18" customFormat="1" ht="15" customHeight="1">
      <c r="A98" s="47"/>
      <c r="B98" s="796"/>
      <c r="C98" s="796"/>
      <c r="D98" s="796"/>
      <c r="E98" s="127"/>
    </row>
    <row r="99" spans="1:5" s="18" customFormat="1" ht="15" customHeight="1">
      <c r="A99" s="47"/>
      <c r="B99" s="796"/>
      <c r="C99" s="796"/>
      <c r="D99" s="796"/>
      <c r="E99" s="127"/>
    </row>
    <row r="100" spans="1:5" s="18" customFormat="1" ht="15" customHeight="1">
      <c r="A100" s="47"/>
      <c r="B100" s="796"/>
      <c r="C100" s="796"/>
      <c r="D100" s="796"/>
      <c r="E100" s="127"/>
    </row>
    <row r="101" spans="1:5" s="18" customFormat="1" ht="15" customHeight="1">
      <c r="A101" s="47"/>
      <c r="B101" s="796"/>
      <c r="C101" s="796"/>
      <c r="D101" s="796"/>
      <c r="E101" s="127"/>
    </row>
    <row r="102" spans="1:5" s="18" customFormat="1" ht="15" customHeight="1">
      <c r="A102" s="47"/>
      <c r="B102" s="796"/>
      <c r="C102" s="796"/>
      <c r="D102" s="796"/>
      <c r="E102" s="127"/>
    </row>
    <row r="103" spans="1:5" s="18" customFormat="1" ht="15" customHeight="1">
      <c r="A103" s="47"/>
      <c r="B103" s="796"/>
      <c r="C103" s="796"/>
      <c r="D103" s="796"/>
      <c r="E103" s="127"/>
    </row>
    <row r="104" spans="1:5" s="18" customFormat="1" ht="15" customHeight="1">
      <c r="A104" s="47"/>
      <c r="B104" s="796"/>
      <c r="C104" s="796"/>
      <c r="D104" s="796"/>
      <c r="E104" s="127"/>
    </row>
    <row r="105" spans="1:5" s="18" customFormat="1" ht="15" customHeight="1">
      <c r="A105" s="47"/>
      <c r="B105" s="796"/>
      <c r="C105" s="796"/>
      <c r="D105" s="796"/>
      <c r="E105" s="127"/>
    </row>
    <row r="106" spans="1:5" s="18" customFormat="1" ht="15" customHeight="1">
      <c r="A106" s="47"/>
      <c r="B106" s="796"/>
      <c r="C106" s="796"/>
      <c r="D106" s="796"/>
      <c r="E106" s="127"/>
    </row>
    <row r="107" spans="1:5" s="18" customFormat="1" ht="15" customHeight="1">
      <c r="A107" s="47"/>
      <c r="B107" s="796"/>
      <c r="C107" s="796"/>
      <c r="D107" s="796"/>
      <c r="E107" s="127"/>
    </row>
    <row r="108" spans="1:5" s="18" customFormat="1" ht="15" customHeight="1">
      <c r="A108" s="47"/>
      <c r="B108" s="796"/>
      <c r="C108" s="796"/>
      <c r="D108" s="796"/>
      <c r="E108" s="127"/>
    </row>
    <row r="109" spans="1:5" s="18" customFormat="1" ht="15" customHeight="1">
      <c r="A109" s="47"/>
      <c r="B109" s="796"/>
      <c r="C109" s="796"/>
      <c r="D109" s="796"/>
      <c r="E109" s="127"/>
    </row>
    <row r="110" spans="1:5" s="18" customFormat="1" ht="15" customHeight="1">
      <c r="A110" s="47"/>
      <c r="B110" s="796"/>
      <c r="C110" s="796"/>
      <c r="D110" s="796"/>
      <c r="E110" s="127"/>
    </row>
    <row r="111" spans="1:5" s="18" customFormat="1" ht="15" customHeight="1">
      <c r="A111" s="47"/>
      <c r="B111" s="796"/>
      <c r="C111" s="796"/>
      <c r="D111" s="796"/>
      <c r="E111" s="127"/>
    </row>
    <row r="112" spans="1:5" s="18" customFormat="1" ht="15" customHeight="1">
      <c r="A112" s="47"/>
      <c r="B112" s="796"/>
      <c r="C112" s="796"/>
      <c r="D112" s="796"/>
      <c r="E112" s="127"/>
    </row>
    <row r="113" spans="1:5" s="18" customFormat="1" ht="15" customHeight="1">
      <c r="A113" s="47"/>
      <c r="B113" s="796"/>
      <c r="C113" s="796"/>
      <c r="D113" s="796"/>
      <c r="E113" s="127"/>
    </row>
    <row r="114" spans="1:5" s="18" customFormat="1" ht="15" customHeight="1">
      <c r="A114" s="47"/>
      <c r="B114" s="796"/>
      <c r="C114" s="796"/>
      <c r="D114" s="796"/>
      <c r="E114" s="127"/>
    </row>
    <row r="115" spans="1:5" s="18" customFormat="1" ht="15" customHeight="1">
      <c r="A115" s="47"/>
      <c r="B115" s="796"/>
      <c r="C115" s="796"/>
      <c r="D115" s="796"/>
      <c r="E115" s="127"/>
    </row>
    <row r="116" spans="1:5" s="18" customFormat="1" ht="15" customHeight="1">
      <c r="A116" s="47"/>
      <c r="B116" s="796"/>
      <c r="C116" s="796"/>
      <c r="D116" s="796"/>
      <c r="E116" s="127"/>
    </row>
    <row r="117" spans="1:5" s="18" customFormat="1" ht="15" customHeight="1">
      <c r="A117" s="47"/>
      <c r="B117" s="796"/>
      <c r="C117" s="796"/>
      <c r="D117" s="796"/>
      <c r="E117" s="127"/>
    </row>
    <row r="118" spans="1:5" s="18" customFormat="1" ht="15" customHeight="1">
      <c r="A118" s="47"/>
      <c r="B118" s="796"/>
      <c r="C118" s="796"/>
      <c r="D118" s="796"/>
      <c r="E118" s="127"/>
    </row>
    <row r="119" spans="1:5" s="18" customFormat="1" ht="15" customHeight="1">
      <c r="A119" s="47"/>
      <c r="B119" s="796"/>
      <c r="C119" s="796"/>
      <c r="D119" s="796"/>
      <c r="E119" s="127"/>
    </row>
    <row r="120" spans="1:5" s="18" customFormat="1" ht="15" customHeight="1">
      <c r="A120" s="47"/>
      <c r="B120" s="796"/>
      <c r="C120" s="796"/>
      <c r="D120" s="796"/>
      <c r="E120" s="127"/>
    </row>
    <row r="121" spans="1:5" s="18" customFormat="1" ht="15" customHeight="1">
      <c r="A121" s="781"/>
      <c r="B121" s="796"/>
      <c r="C121" s="796"/>
      <c r="D121" s="796"/>
      <c r="E121" s="127"/>
    </row>
    <row r="122" spans="1:5" s="18" customFormat="1" ht="15" customHeight="1">
      <c r="A122" s="781"/>
      <c r="B122" s="796"/>
      <c r="C122" s="796"/>
      <c r="D122" s="796"/>
      <c r="E122" s="127"/>
    </row>
    <row r="123" spans="1:5" s="18" customFormat="1" ht="15" customHeight="1">
      <c r="A123" s="781"/>
      <c r="B123" s="796"/>
      <c r="C123" s="796"/>
      <c r="D123" s="796"/>
      <c r="E123" s="127"/>
    </row>
    <row r="124" spans="1:5" s="18" customFormat="1" ht="15" customHeight="1">
      <c r="A124" s="781"/>
      <c r="B124" s="796"/>
      <c r="C124" s="796"/>
      <c r="D124" s="796"/>
      <c r="E124" s="127"/>
    </row>
    <row r="125" spans="1:5" s="18" customFormat="1" ht="15" customHeight="1">
      <c r="A125" s="781"/>
      <c r="B125" s="796"/>
      <c r="C125" s="796"/>
      <c r="D125" s="796"/>
      <c r="E125" s="127"/>
    </row>
    <row r="126" spans="1:5" s="18" customFormat="1" ht="15" customHeight="1">
      <c r="A126" s="781"/>
      <c r="B126" s="796"/>
      <c r="C126" s="796"/>
      <c r="D126" s="796"/>
      <c r="E126" s="127"/>
    </row>
    <row r="127" spans="1:5" s="18" customFormat="1" ht="15" customHeight="1">
      <c r="A127" s="781"/>
      <c r="B127" s="796"/>
      <c r="C127" s="796"/>
      <c r="D127" s="796"/>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248</v>
      </c>
      <c r="B1" s="423"/>
      <c r="C1" s="423"/>
      <c r="D1" s="423"/>
      <c r="E1" s="423"/>
      <c r="F1" s="423"/>
      <c r="G1" s="424"/>
    </row>
    <row r="2" spans="1:7" s="98" customFormat="1" ht="15" customHeight="1">
      <c r="A2" s="425"/>
      <c r="B2" s="426"/>
      <c r="C2" s="426"/>
      <c r="D2" s="426"/>
      <c r="E2" s="426"/>
      <c r="F2" s="426"/>
      <c r="G2" s="427"/>
    </row>
    <row r="3" spans="1:7" ht="15" customHeight="1">
      <c r="A3" s="845" t="s">
        <v>371</v>
      </c>
      <c r="B3" s="846"/>
      <c r="C3" s="846"/>
      <c r="D3" s="846"/>
      <c r="E3" s="846"/>
      <c r="F3" s="846"/>
      <c r="G3" s="847"/>
    </row>
    <row r="4" spans="1:7" ht="15" customHeight="1">
      <c r="A4" s="845" t="s">
        <v>481</v>
      </c>
      <c r="B4" s="846"/>
      <c r="C4" s="846"/>
      <c r="D4" s="846"/>
      <c r="E4" s="846"/>
      <c r="F4" s="846"/>
      <c r="G4" s="847"/>
    </row>
    <row r="5" spans="1:7" s="14" customFormat="1" ht="15" customHeight="1">
      <c r="A5" s="429"/>
      <c r="B5" s="430"/>
      <c r="C5" s="430"/>
      <c r="D5" s="430"/>
      <c r="E5" s="430"/>
      <c r="F5" s="430"/>
      <c r="G5" s="430"/>
    </row>
    <row r="6" spans="1:7" s="14" customFormat="1" ht="30" customHeight="1">
      <c r="A6" s="431" t="s">
        <v>76</v>
      </c>
      <c r="B6" s="881" t="s">
        <v>476</v>
      </c>
      <c r="C6" s="881" t="s">
        <v>466</v>
      </c>
      <c r="D6" s="881" t="s">
        <v>190</v>
      </c>
      <c r="E6" s="882" t="s">
        <v>39</v>
      </c>
      <c r="F6" s="882" t="s">
        <v>477</v>
      </c>
      <c r="G6" s="884" t="s">
        <v>249</v>
      </c>
    </row>
    <row r="7" spans="1:7" s="14" customFormat="1" ht="15" customHeight="1">
      <c r="A7" s="432" t="s">
        <v>372</v>
      </c>
      <c r="B7" s="372"/>
      <c r="C7" s="372"/>
      <c r="D7" s="372"/>
      <c r="E7" s="372"/>
      <c r="F7" s="372"/>
      <c r="G7" s="372"/>
    </row>
    <row r="8" spans="1:7" s="99" customFormat="1" ht="15" customHeight="1">
      <c r="A8" s="371" t="s">
        <v>441</v>
      </c>
      <c r="B8" s="476">
        <f>-'[13]2Q06 Trial Balance'!C223</f>
        <v>4492090</v>
      </c>
      <c r="C8" s="476">
        <f>-'[13]2Q06 Trial Balance'!C219</f>
        <v>-82017</v>
      </c>
      <c r="D8" s="476">
        <f>-'[13]2Q06 Trial Balance'!C216</f>
        <v>-2071</v>
      </c>
      <c r="E8" s="476">
        <f>-'[13]2Q06 Trial Balance'!C213</f>
        <v>-366</v>
      </c>
      <c r="F8" s="126">
        <v>0</v>
      </c>
      <c r="G8" s="476">
        <f>SUM(B8:F8)</f>
        <v>4407636</v>
      </c>
    </row>
    <row r="9" spans="1:7" s="14" customFormat="1" ht="15" customHeight="1">
      <c r="A9" s="371" t="s">
        <v>386</v>
      </c>
      <c r="B9" s="126">
        <f>-'[13]2Q06 Trial Balance'!C224</f>
        <v>1268336</v>
      </c>
      <c r="C9" s="126">
        <f>-'[13]2Q06 Trial Balance'!C220</f>
        <v>-20781</v>
      </c>
      <c r="D9" s="126">
        <f>-'[13]2Q06 Trial Balance'!C217</f>
        <v>-513</v>
      </c>
      <c r="E9" s="126">
        <f>-'[13]2Q06 Trial Balance'!C214</f>
        <v>-87</v>
      </c>
      <c r="F9" s="126">
        <v>0</v>
      </c>
      <c r="G9" s="485">
        <f>SUM(B9:F9)</f>
        <v>1246955</v>
      </c>
    </row>
    <row r="10" spans="1:7" s="14" customFormat="1" ht="15" customHeight="1">
      <c r="A10" s="371" t="s">
        <v>387</v>
      </c>
      <c r="B10" s="126">
        <f>-'[13]2Q06 Trial Balance'!C225</f>
        <v>12173</v>
      </c>
      <c r="C10" s="126">
        <f>-'[13]2Q06 Trial Balance'!C221</f>
        <v>-189</v>
      </c>
      <c r="D10" s="126">
        <v>0</v>
      </c>
      <c r="E10" s="126">
        <v>0</v>
      </c>
      <c r="F10" s="126">
        <v>0</v>
      </c>
      <c r="G10" s="485">
        <f>SUM(B10:F10)</f>
        <v>11984</v>
      </c>
    </row>
    <row r="11" spans="1:7" s="24" customFormat="1" ht="15" customHeight="1" thickBot="1">
      <c r="A11" s="433" t="s">
        <v>376</v>
      </c>
      <c r="B11" s="138">
        <f aca="true" t="shared" si="0" ref="B11:G11">SUM(B8:B10)</f>
        <v>5772599</v>
      </c>
      <c r="C11" s="138">
        <f t="shared" si="0"/>
        <v>-102987</v>
      </c>
      <c r="D11" s="138">
        <f t="shared" si="0"/>
        <v>-2584</v>
      </c>
      <c r="E11" s="138">
        <f t="shared" si="0"/>
        <v>-453</v>
      </c>
      <c r="F11" s="138">
        <f t="shared" si="0"/>
        <v>0</v>
      </c>
      <c r="G11" s="767">
        <f t="shared" si="0"/>
        <v>5666575</v>
      </c>
    </row>
    <row r="12" spans="1:7" s="24" customFormat="1" ht="15" customHeight="1" thickTop="1">
      <c r="A12" s="371"/>
      <c r="B12" s="126"/>
      <c r="C12" s="126"/>
      <c r="D12" s="126"/>
      <c r="E12" s="126"/>
      <c r="F12" s="126"/>
      <c r="G12" s="256"/>
    </row>
    <row r="13" spans="1:7" s="24" customFormat="1" ht="30" customHeight="1">
      <c r="A13" s="432" t="s">
        <v>490</v>
      </c>
      <c r="B13" s="126"/>
      <c r="C13" s="126"/>
      <c r="D13" s="126"/>
      <c r="E13" s="126"/>
      <c r="F13" s="126"/>
      <c r="G13" s="126"/>
    </row>
    <row r="14" spans="1:7" s="24" customFormat="1" ht="15" customHeight="1">
      <c r="A14" s="371" t="s">
        <v>441</v>
      </c>
      <c r="B14" s="126">
        <f>'Premiums YTD-8'!B14</f>
        <v>6436187</v>
      </c>
      <c r="C14" s="126">
        <f>'Premiums YTD-8'!C14</f>
        <v>2201253</v>
      </c>
      <c r="D14" s="126">
        <f>'Premiums YTD-8'!D14</f>
        <v>0</v>
      </c>
      <c r="E14" s="126">
        <f>'Premiums YTD-8'!E14</f>
        <v>0</v>
      </c>
      <c r="F14" s="126">
        <f>'Premiums YTD-8'!F14</f>
        <v>0</v>
      </c>
      <c r="G14" s="485">
        <f>SUM(B14:F14)</f>
        <v>8637440</v>
      </c>
    </row>
    <row r="15" spans="1:7" s="24" customFormat="1" ht="15" customHeight="1">
      <c r="A15" s="371" t="s">
        <v>13</v>
      </c>
      <c r="B15" s="126">
        <f>'Premiums YTD-8'!B15</f>
        <v>1783361</v>
      </c>
      <c r="C15" s="126">
        <f>'Premiums YTD-8'!C15</f>
        <v>613462</v>
      </c>
      <c r="D15" s="126">
        <f>'Premiums YTD-8'!D15</f>
        <v>0</v>
      </c>
      <c r="E15" s="126">
        <f>'Premiums YTD-8'!E15</f>
        <v>0</v>
      </c>
      <c r="F15" s="126">
        <f>'Premiums YTD-8'!F15</f>
        <v>0</v>
      </c>
      <c r="G15" s="485">
        <f>SUM(B15:F15)</f>
        <v>2396823</v>
      </c>
    </row>
    <row r="16" spans="1:7" s="24" customFormat="1" ht="15" customHeight="1">
      <c r="A16" s="371" t="s">
        <v>399</v>
      </c>
      <c r="B16" s="126">
        <f>'Premiums YTD-8'!B16</f>
        <v>17158</v>
      </c>
      <c r="C16" s="126">
        <f>'Premiums YTD-8'!C16</f>
        <v>5970</v>
      </c>
      <c r="D16" s="126">
        <f>'Premiums YTD-8'!D16</f>
        <v>0</v>
      </c>
      <c r="E16" s="126">
        <f>'Premiums YTD-8'!E16</f>
        <v>0</v>
      </c>
      <c r="F16" s="126">
        <f>'Premiums YTD-8'!F16</f>
        <v>0</v>
      </c>
      <c r="G16" s="766">
        <f>SUM(B16:F16)</f>
        <v>23128</v>
      </c>
    </row>
    <row r="17" spans="1:7" s="24" customFormat="1" ht="15" customHeight="1" thickBot="1">
      <c r="A17" s="433" t="s">
        <v>376</v>
      </c>
      <c r="B17" s="138">
        <f>SUM(B14:B16)</f>
        <v>8236706</v>
      </c>
      <c r="C17" s="138">
        <f>SUM(C14:C16)</f>
        <v>2820685</v>
      </c>
      <c r="D17" s="138">
        <f>SUM(D14:D16)</f>
        <v>0</v>
      </c>
      <c r="E17" s="138">
        <f>SUM(E14:E16)</f>
        <v>0</v>
      </c>
      <c r="F17" s="138">
        <v>0</v>
      </c>
      <c r="G17" s="767">
        <f>SUM(G14:G16)</f>
        <v>11057391</v>
      </c>
    </row>
    <row r="18" spans="1:7" s="24" customFormat="1" ht="15" customHeight="1" thickTop="1">
      <c r="A18" s="371"/>
      <c r="B18" s="126"/>
      <c r="C18" s="126"/>
      <c r="D18" s="126"/>
      <c r="E18" s="126"/>
      <c r="F18" s="126"/>
      <c r="G18" s="256"/>
    </row>
    <row r="19" spans="1:7" s="24" customFormat="1" ht="30" customHeight="1">
      <c r="A19" s="432" t="s">
        <v>498</v>
      </c>
      <c r="B19" s="312"/>
      <c r="C19" s="312"/>
      <c r="D19" s="312"/>
      <c r="E19" s="312"/>
      <c r="F19" s="126"/>
      <c r="G19" s="126"/>
    </row>
    <row r="20" spans="1:7" s="24" customFormat="1" ht="15" customHeight="1">
      <c r="A20" s="371" t="s">
        <v>441</v>
      </c>
      <c r="B20" s="126">
        <f>'[14]Premiums QTD-5'!B15</f>
        <v>3574237</v>
      </c>
      <c r="C20" s="126">
        <f>'[14]Premiums QTD-5'!C15</f>
        <v>5090945</v>
      </c>
      <c r="D20" s="126">
        <f>'[14]Premiums QTD-5'!D15</f>
        <v>0</v>
      </c>
      <c r="E20" s="126">
        <f>'[14]Premiums QTD-5'!E15</f>
        <v>0</v>
      </c>
      <c r="F20" s="126">
        <f>'[14]Premiums QTD-5'!F15</f>
        <v>0</v>
      </c>
      <c r="G20" s="485">
        <f>SUM(B20:F20)</f>
        <v>8665182</v>
      </c>
    </row>
    <row r="21" spans="1:7" s="24" customFormat="1" ht="15" customHeight="1">
      <c r="A21" s="371" t="s">
        <v>386</v>
      </c>
      <c r="B21" s="126">
        <f>'[14]Premiums QTD-5'!B16</f>
        <v>962058</v>
      </c>
      <c r="C21" s="126">
        <f>'[14]Premiums QTD-5'!C16</f>
        <v>1422089</v>
      </c>
      <c r="D21" s="126">
        <f>'[14]Premiums QTD-5'!D16</f>
        <v>0</v>
      </c>
      <c r="E21" s="126">
        <f>'[14]Premiums QTD-5'!E16</f>
        <v>0</v>
      </c>
      <c r="F21" s="126">
        <f>'[14]Premiums QTD-5'!F16</f>
        <v>0</v>
      </c>
      <c r="G21" s="485">
        <f>SUM(B21:F21)</f>
        <v>2384147</v>
      </c>
    </row>
    <row r="22" spans="1:7" s="24" customFormat="1" ht="15" customHeight="1">
      <c r="A22" s="371" t="s">
        <v>387</v>
      </c>
      <c r="B22" s="126">
        <f>'[14]Premiums QTD-5'!B17</f>
        <v>9335</v>
      </c>
      <c r="C22" s="126">
        <f>'[14]Premiums QTD-5'!C17</f>
        <v>14170</v>
      </c>
      <c r="D22" s="126">
        <f>'[14]Premiums QTD-5'!D17</f>
        <v>0</v>
      </c>
      <c r="E22" s="126">
        <f>'[14]Premiums QTD-5'!E17</f>
        <v>0</v>
      </c>
      <c r="F22" s="126">
        <f>'[14]Premiums QTD-5'!F17</f>
        <v>0</v>
      </c>
      <c r="G22" s="485">
        <f>SUM(B22:F22)</f>
        <v>23505</v>
      </c>
    </row>
    <row r="23" spans="1:7" s="24" customFormat="1" ht="15" customHeight="1" thickBot="1">
      <c r="A23" s="433" t="s">
        <v>376</v>
      </c>
      <c r="B23" s="138">
        <f aca="true" t="shared" si="1" ref="B23:G23">SUM(B20:B22)</f>
        <v>4545630</v>
      </c>
      <c r="C23" s="138">
        <f t="shared" si="1"/>
        <v>6527204</v>
      </c>
      <c r="D23" s="138">
        <f t="shared" si="1"/>
        <v>0</v>
      </c>
      <c r="E23" s="138">
        <f t="shared" si="1"/>
        <v>0</v>
      </c>
      <c r="F23" s="138">
        <f t="shared" si="1"/>
        <v>0</v>
      </c>
      <c r="G23" s="129">
        <f t="shared" si="1"/>
        <v>11072834</v>
      </c>
    </row>
    <row r="24" spans="1:7" s="783" customFormat="1" ht="15" customHeight="1" thickTop="1">
      <c r="A24" s="434"/>
      <c r="B24" s="126"/>
      <c r="C24" s="126"/>
      <c r="D24" s="126"/>
      <c r="E24" s="848"/>
      <c r="F24" s="126"/>
      <c r="G24" s="782"/>
    </row>
    <row r="25" spans="1:7" s="24" customFormat="1" ht="15" customHeight="1">
      <c r="A25" s="432" t="s">
        <v>377</v>
      </c>
      <c r="B25" s="126"/>
      <c r="C25" s="126"/>
      <c r="D25" s="126"/>
      <c r="E25" s="126"/>
      <c r="F25" s="126"/>
      <c r="G25" s="126"/>
    </row>
    <row r="26" spans="1:7" s="24" customFormat="1" ht="15" customHeight="1">
      <c r="A26" s="371" t="s">
        <v>441</v>
      </c>
      <c r="B26" s="126">
        <f aca="true" t="shared" si="2" ref="B26:F28">B8-(B14-B20)</f>
        <v>1630140</v>
      </c>
      <c r="C26" s="126">
        <f t="shared" si="2"/>
        <v>2807675</v>
      </c>
      <c r="D26" s="126">
        <f t="shared" si="2"/>
        <v>-2071</v>
      </c>
      <c r="E26" s="126">
        <f t="shared" si="2"/>
        <v>-366</v>
      </c>
      <c r="F26" s="126">
        <f t="shared" si="2"/>
        <v>0</v>
      </c>
      <c r="G26" s="485">
        <f>SUM(B26:F26)</f>
        <v>4435378</v>
      </c>
    </row>
    <row r="27" spans="1:7" s="24" customFormat="1" ht="15" customHeight="1">
      <c r="A27" s="371" t="s">
        <v>386</v>
      </c>
      <c r="B27" s="126">
        <f t="shared" si="2"/>
        <v>447033</v>
      </c>
      <c r="C27" s="126">
        <f t="shared" si="2"/>
        <v>787846</v>
      </c>
      <c r="D27" s="126">
        <f t="shared" si="2"/>
        <v>-513</v>
      </c>
      <c r="E27" s="126">
        <f t="shared" si="2"/>
        <v>-87</v>
      </c>
      <c r="F27" s="126">
        <f t="shared" si="2"/>
        <v>0</v>
      </c>
      <c r="G27" s="485">
        <f>SUM(B27:F27)</f>
        <v>1234279</v>
      </c>
    </row>
    <row r="28" spans="1:7" s="24" customFormat="1" ht="15" customHeight="1">
      <c r="A28" s="435" t="s">
        <v>387</v>
      </c>
      <c r="B28" s="485">
        <f t="shared" si="2"/>
        <v>4350</v>
      </c>
      <c r="C28" s="485">
        <f t="shared" si="2"/>
        <v>8011</v>
      </c>
      <c r="D28" s="485">
        <f t="shared" si="2"/>
        <v>0</v>
      </c>
      <c r="E28" s="485">
        <f t="shared" si="2"/>
        <v>0</v>
      </c>
      <c r="F28" s="126">
        <f t="shared" si="2"/>
        <v>0</v>
      </c>
      <c r="G28" s="485">
        <f>SUM(B28:F28)</f>
        <v>12361</v>
      </c>
    </row>
    <row r="29" spans="1:7" s="24" customFormat="1" ht="15" customHeight="1" thickBot="1">
      <c r="A29" s="433" t="s">
        <v>376</v>
      </c>
      <c r="B29" s="544">
        <f aca="true" t="shared" si="3" ref="B29:G29">SUM(B26:B28)</f>
        <v>2081523</v>
      </c>
      <c r="C29" s="544">
        <f t="shared" si="3"/>
        <v>3603532</v>
      </c>
      <c r="D29" s="544">
        <f t="shared" si="3"/>
        <v>-2584</v>
      </c>
      <c r="E29" s="544">
        <f t="shared" si="3"/>
        <v>-453</v>
      </c>
      <c r="F29" s="910">
        <f t="shared" si="3"/>
        <v>0</v>
      </c>
      <c r="G29" s="544">
        <f t="shared" si="3"/>
        <v>5682018</v>
      </c>
    </row>
    <row r="30" spans="2:7" s="14" customFormat="1" ht="15" customHeight="1" thickTop="1">
      <c r="B30" s="256"/>
      <c r="C30" s="256"/>
      <c r="D30" s="256"/>
      <c r="E30" s="256"/>
      <c r="F30" s="256"/>
      <c r="G30" s="256"/>
    </row>
    <row r="31" spans="1:7" s="14" customFormat="1" ht="9.75" customHeight="1">
      <c r="A31" s="969" t="s">
        <v>458</v>
      </c>
      <c r="B31" s="970"/>
      <c r="C31" s="970"/>
      <c r="D31" s="970"/>
      <c r="E31" s="969"/>
      <c r="F31" s="969"/>
      <c r="G31" s="969"/>
    </row>
    <row r="32" spans="1:7" s="14" customFormat="1" ht="9.75" customHeight="1">
      <c r="A32" s="969"/>
      <c r="B32" s="970"/>
      <c r="C32" s="970"/>
      <c r="D32" s="970"/>
      <c r="E32" s="969"/>
      <c r="F32" s="969"/>
      <c r="G32" s="969"/>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7"/>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248</v>
      </c>
      <c r="B1" s="423"/>
      <c r="C1" s="423"/>
      <c r="D1" s="423"/>
      <c r="E1" s="423"/>
      <c r="F1" s="423"/>
      <c r="G1" s="424"/>
    </row>
    <row r="2" spans="1:7" s="98" customFormat="1" ht="15" customHeight="1">
      <c r="A2" s="425"/>
      <c r="B2" s="426"/>
      <c r="C2" s="426"/>
      <c r="D2" s="426"/>
      <c r="E2" s="426"/>
      <c r="F2" s="426"/>
      <c r="G2" s="427"/>
    </row>
    <row r="3" spans="1:7" ht="15" customHeight="1">
      <c r="A3" s="845" t="s">
        <v>371</v>
      </c>
      <c r="B3" s="846"/>
      <c r="C3" s="846"/>
      <c r="D3" s="846"/>
      <c r="E3" s="846"/>
      <c r="F3" s="846"/>
      <c r="G3" s="847"/>
    </row>
    <row r="4" spans="1:7" ht="15" customHeight="1">
      <c r="A4" s="845" t="s">
        <v>478</v>
      </c>
      <c r="B4" s="846"/>
      <c r="C4" s="846"/>
      <c r="D4" s="846"/>
      <c r="E4" s="846"/>
      <c r="F4" s="846"/>
      <c r="G4" s="847"/>
    </row>
    <row r="5" spans="1:7" s="14" customFormat="1" ht="15" customHeight="1">
      <c r="A5" s="429"/>
      <c r="B5" s="430"/>
      <c r="C5" s="430"/>
      <c r="D5" s="430"/>
      <c r="E5" s="430"/>
      <c r="F5" s="430"/>
      <c r="G5" s="430"/>
    </row>
    <row r="6" spans="1:7" s="14" customFormat="1" ht="30" customHeight="1">
      <c r="A6" s="431" t="s">
        <v>76</v>
      </c>
      <c r="B6" s="881" t="s">
        <v>476</v>
      </c>
      <c r="C6" s="881" t="s">
        <v>466</v>
      </c>
      <c r="D6" s="881" t="s">
        <v>190</v>
      </c>
      <c r="E6" s="882" t="s">
        <v>39</v>
      </c>
      <c r="F6" s="882" t="s">
        <v>477</v>
      </c>
      <c r="G6" s="884" t="s">
        <v>249</v>
      </c>
    </row>
    <row r="7" spans="1:7" s="14" customFormat="1" ht="15" customHeight="1">
      <c r="A7" s="432" t="s">
        <v>372</v>
      </c>
      <c r="B7" s="372"/>
      <c r="C7" s="372"/>
      <c r="D7" s="372"/>
      <c r="E7" s="372"/>
      <c r="F7" s="372"/>
      <c r="G7" s="372"/>
    </row>
    <row r="8" spans="1:7" s="99" customFormat="1" ht="15" customHeight="1">
      <c r="A8" s="371" t="s">
        <v>441</v>
      </c>
      <c r="B8" s="476">
        <f>-'[13]2Q06 Trial Balance'!E223</f>
        <v>8577861</v>
      </c>
      <c r="C8" s="476">
        <f>-'[13]2Q06 Trial Balance'!E219</f>
        <v>-42083</v>
      </c>
      <c r="D8" s="476">
        <f>-'[13]2Q06 Trial Balance'!E216</f>
        <v>-6670</v>
      </c>
      <c r="E8" s="476">
        <f>-'[13]2Q06 Trial Balance'!E213</f>
        <v>-366</v>
      </c>
      <c r="F8" s="126">
        <v>0</v>
      </c>
      <c r="G8" s="476">
        <f>SUM(B8:F8)</f>
        <v>8528742</v>
      </c>
    </row>
    <row r="9" spans="1:7" s="14" customFormat="1" ht="15" customHeight="1">
      <c r="A9" s="371" t="s">
        <v>386</v>
      </c>
      <c r="B9" s="126">
        <f>-'[13]2Q06 Trial Balance'!E224</f>
        <v>2369028</v>
      </c>
      <c r="C9" s="126">
        <f>-'[13]2Q06 Trial Balance'!E220</f>
        <v>1213</v>
      </c>
      <c r="D9" s="126">
        <f>-'[13]2Q06 Trial Balance'!E217</f>
        <v>-2129</v>
      </c>
      <c r="E9" s="126">
        <f>-'[13]2Q06 Trial Balance'!E214</f>
        <v>-87</v>
      </c>
      <c r="F9" s="126">
        <v>0</v>
      </c>
      <c r="G9" s="485">
        <f>SUM(B9:F9)</f>
        <v>2368025</v>
      </c>
    </row>
    <row r="10" spans="1:7" s="14" customFormat="1" ht="15" customHeight="1">
      <c r="A10" s="371" t="s">
        <v>387</v>
      </c>
      <c r="B10" s="126">
        <f>-'[13]2Q06 Trial Balance'!E225</f>
        <v>22774</v>
      </c>
      <c r="C10" s="126">
        <f>-'[13]2Q06 Trial Balance'!E221</f>
        <v>-232</v>
      </c>
      <c r="D10" s="126">
        <v>0</v>
      </c>
      <c r="E10" s="126">
        <v>0</v>
      </c>
      <c r="F10" s="126">
        <v>0</v>
      </c>
      <c r="G10" s="485">
        <f>SUM(B10:F10)</f>
        <v>22542</v>
      </c>
    </row>
    <row r="11" spans="1:7" s="24" customFormat="1" ht="15" customHeight="1" thickBot="1">
      <c r="A11" s="433" t="s">
        <v>376</v>
      </c>
      <c r="B11" s="138">
        <f aca="true" t="shared" si="0" ref="B11:G11">SUM(B8:B10)</f>
        <v>10969663</v>
      </c>
      <c r="C11" s="138">
        <f t="shared" si="0"/>
        <v>-41102</v>
      </c>
      <c r="D11" s="138">
        <f t="shared" si="0"/>
        <v>-8799</v>
      </c>
      <c r="E11" s="138">
        <f t="shared" si="0"/>
        <v>-453</v>
      </c>
      <c r="F11" s="138">
        <f t="shared" si="0"/>
        <v>0</v>
      </c>
      <c r="G11" s="767">
        <f t="shared" si="0"/>
        <v>10919309</v>
      </c>
    </row>
    <row r="12" spans="1:7" s="24" customFormat="1" ht="15" customHeight="1" thickTop="1">
      <c r="A12" s="371"/>
      <c r="B12" s="126"/>
      <c r="C12" s="126"/>
      <c r="D12" s="126"/>
      <c r="E12" s="126"/>
      <c r="F12" s="126"/>
      <c r="G12" s="256"/>
    </row>
    <row r="13" spans="1:7" s="24" customFormat="1" ht="30" customHeight="1">
      <c r="A13" s="432" t="s">
        <v>490</v>
      </c>
      <c r="B13" s="126"/>
      <c r="C13" s="126"/>
      <c r="D13" s="126"/>
      <c r="E13" s="126"/>
      <c r="F13" s="126"/>
      <c r="G13" s="126"/>
    </row>
    <row r="14" spans="1:7" s="24" customFormat="1" ht="15" customHeight="1">
      <c r="A14" s="371" t="s">
        <v>441</v>
      </c>
      <c r="B14" s="126">
        <f>-'[13]2Q06 Trial Balance'!E50</f>
        <v>6436187</v>
      </c>
      <c r="C14" s="126">
        <f>-'[13]2Q06 Trial Balance'!E46</f>
        <v>2201253</v>
      </c>
      <c r="D14" s="589">
        <v>0</v>
      </c>
      <c r="E14" s="589">
        <v>0</v>
      </c>
      <c r="F14" s="589">
        <v>0</v>
      </c>
      <c r="G14" s="485">
        <f>SUM(B14:F14)</f>
        <v>8637440</v>
      </c>
    </row>
    <row r="15" spans="1:7" s="24" customFormat="1" ht="15" customHeight="1">
      <c r="A15" s="371" t="s">
        <v>13</v>
      </c>
      <c r="B15" s="126">
        <f>-'[13]2Q06 Trial Balance'!E51</f>
        <v>1783361</v>
      </c>
      <c r="C15" s="126">
        <f>-'[13]2Q06 Trial Balance'!E47</f>
        <v>613462</v>
      </c>
      <c r="D15" s="126">
        <v>0</v>
      </c>
      <c r="E15" s="126">
        <v>0</v>
      </c>
      <c r="F15" s="126">
        <v>0</v>
      </c>
      <c r="G15" s="485">
        <f>SUM(B15:F15)</f>
        <v>2396823</v>
      </c>
    </row>
    <row r="16" spans="1:7" s="24" customFormat="1" ht="15" customHeight="1">
      <c r="A16" s="371" t="s">
        <v>399</v>
      </c>
      <c r="B16" s="126">
        <f>-'[13]2Q06 Trial Balance'!E52</f>
        <v>17158</v>
      </c>
      <c r="C16" s="126">
        <f>-'[13]2Q06 Trial Balance'!E48</f>
        <v>5970</v>
      </c>
      <c r="D16" s="126">
        <v>0</v>
      </c>
      <c r="E16" s="126">
        <v>0</v>
      </c>
      <c r="F16" s="126">
        <v>0</v>
      </c>
      <c r="G16" s="766">
        <f>SUM(B16:F16)</f>
        <v>23128</v>
      </c>
    </row>
    <row r="17" spans="1:7" s="24" customFormat="1" ht="15" customHeight="1" thickBot="1">
      <c r="A17" s="433" t="s">
        <v>376</v>
      </c>
      <c r="B17" s="138">
        <f>SUM(B14:B16)</f>
        <v>8236706</v>
      </c>
      <c r="C17" s="138">
        <f>SUM(C14:C16)</f>
        <v>2820685</v>
      </c>
      <c r="D17" s="138">
        <f>SUM(D14:D16)</f>
        <v>0</v>
      </c>
      <c r="E17" s="138">
        <f>SUM(E14:E16)</f>
        <v>0</v>
      </c>
      <c r="F17" s="138">
        <v>0</v>
      </c>
      <c r="G17" s="767">
        <f>SUM(G14:G16)</f>
        <v>11057391</v>
      </c>
    </row>
    <row r="18" spans="1:7" s="24" customFormat="1" ht="15" customHeight="1" thickTop="1">
      <c r="A18" s="371"/>
      <c r="B18" s="126"/>
      <c r="C18" s="126"/>
      <c r="D18" s="126"/>
      <c r="E18" s="126"/>
      <c r="F18" s="126"/>
      <c r="G18" s="256"/>
    </row>
    <row r="19" spans="1:7" s="24" customFormat="1" ht="30" customHeight="1">
      <c r="A19" s="432" t="s">
        <v>491</v>
      </c>
      <c r="B19" s="312"/>
      <c r="C19" s="312"/>
      <c r="D19" s="312"/>
      <c r="E19" s="312"/>
      <c r="F19" s="126"/>
      <c r="G19" s="126"/>
    </row>
    <row r="20" spans="1:7" s="24" customFormat="1" ht="15" customHeight="1">
      <c r="A20" s="371" t="s">
        <v>441</v>
      </c>
      <c r="B20" s="126">
        <f>'[14]Premiums QTD-5'!B21</f>
        <v>0</v>
      </c>
      <c r="C20" s="126">
        <f>'[14]Premiums QTD-5'!C21</f>
        <v>9003139</v>
      </c>
      <c r="D20" s="589">
        <f>'[14]Premiums QTD-5'!D21</f>
        <v>0</v>
      </c>
      <c r="E20" s="589">
        <f>'[14]Premiums QTD-5'!E21</f>
        <v>0</v>
      </c>
      <c r="F20" s="589">
        <f>'[14]Premiums QTD-5'!F21</f>
        <v>0</v>
      </c>
      <c r="G20" s="485">
        <f>SUM(B20:F20)</f>
        <v>9003139</v>
      </c>
    </row>
    <row r="21" spans="1:7" s="24" customFormat="1" ht="15" customHeight="1">
      <c r="A21" s="371" t="s">
        <v>386</v>
      </c>
      <c r="B21" s="126">
        <f>'[14]Premiums QTD-5'!B22</f>
        <v>0</v>
      </c>
      <c r="C21" s="126">
        <f>'[14]Premiums QTD-5'!C22</f>
        <v>2510163</v>
      </c>
      <c r="D21" s="126">
        <f>'[14]Premiums QTD-5'!D22</f>
        <v>0</v>
      </c>
      <c r="E21" s="126">
        <f>'[14]Premiums QTD-5'!E22</f>
        <v>0</v>
      </c>
      <c r="F21" s="126">
        <f>'[14]Premiums QTD-5'!F22</f>
        <v>0</v>
      </c>
      <c r="G21" s="485">
        <f>SUM(B21:F21)</f>
        <v>2510163</v>
      </c>
    </row>
    <row r="22" spans="1:7" s="24" customFormat="1" ht="15" customHeight="1">
      <c r="A22" s="371" t="s">
        <v>387</v>
      </c>
      <c r="B22" s="126">
        <f>'[14]Premiums QTD-5'!B23</f>
        <v>0</v>
      </c>
      <c r="C22" s="126">
        <f>'[14]Premiums QTD-5'!C23</f>
        <v>25694</v>
      </c>
      <c r="D22" s="126">
        <f>'[14]Premiums QTD-5'!D23</f>
        <v>0</v>
      </c>
      <c r="E22" s="126">
        <f>'[14]Premiums QTD-5'!E23</f>
        <v>0</v>
      </c>
      <c r="F22" s="126">
        <f>'[14]Premiums QTD-5'!F23</f>
        <v>0</v>
      </c>
      <c r="G22" s="485">
        <f>SUM(B22:F22)</f>
        <v>25694</v>
      </c>
    </row>
    <row r="23" spans="1:7" s="24" customFormat="1" ht="15" customHeight="1" thickBot="1">
      <c r="A23" s="433" t="s">
        <v>376</v>
      </c>
      <c r="B23" s="138">
        <f>SUM(B20:B22)</f>
        <v>0</v>
      </c>
      <c r="C23" s="138">
        <f>SUM(C20:C22)</f>
        <v>11538996</v>
      </c>
      <c r="D23" s="138">
        <f>SUM(D20:D22)</f>
        <v>0</v>
      </c>
      <c r="E23" s="138">
        <f>SUM(E20:E22)</f>
        <v>0</v>
      </c>
      <c r="F23" s="138">
        <f>SUM(F20:F22)</f>
        <v>0</v>
      </c>
      <c r="G23" s="129">
        <f>SUM(C23:F23)</f>
        <v>11538996</v>
      </c>
    </row>
    <row r="24" spans="1:7" s="783" customFormat="1" ht="15" customHeight="1" thickTop="1">
      <c r="A24" s="434"/>
      <c r="B24" s="126"/>
      <c r="C24" s="126"/>
      <c r="D24" s="126"/>
      <c r="E24" s="848"/>
      <c r="F24" s="126"/>
      <c r="G24" s="782"/>
    </row>
    <row r="25" spans="1:7" s="24" customFormat="1" ht="15" customHeight="1">
      <c r="A25" s="432" t="s">
        <v>377</v>
      </c>
      <c r="B25" s="126"/>
      <c r="C25" s="126"/>
      <c r="D25" s="126"/>
      <c r="E25" s="126"/>
      <c r="F25" s="126"/>
      <c r="G25" s="126"/>
    </row>
    <row r="26" spans="1:7" s="24" customFormat="1" ht="15" customHeight="1">
      <c r="A26" s="371" t="s">
        <v>441</v>
      </c>
      <c r="B26" s="126">
        <f aca="true" t="shared" si="1" ref="B26:F28">B8-(B14-B20)</f>
        <v>2141674</v>
      </c>
      <c r="C26" s="126">
        <f t="shared" si="1"/>
        <v>6759803</v>
      </c>
      <c r="D26" s="126">
        <f t="shared" si="1"/>
        <v>-6670</v>
      </c>
      <c r="E26" s="126">
        <f t="shared" si="1"/>
        <v>-366</v>
      </c>
      <c r="F26" s="126">
        <f t="shared" si="1"/>
        <v>0</v>
      </c>
      <c r="G26" s="485">
        <f>SUM(B26:F26)</f>
        <v>8894441</v>
      </c>
    </row>
    <row r="27" spans="1:7" s="24" customFormat="1" ht="15" customHeight="1">
      <c r="A27" s="371" t="s">
        <v>386</v>
      </c>
      <c r="B27" s="126">
        <f t="shared" si="1"/>
        <v>585667</v>
      </c>
      <c r="C27" s="126">
        <f t="shared" si="1"/>
        <v>1897914</v>
      </c>
      <c r="D27" s="126">
        <f t="shared" si="1"/>
        <v>-2129</v>
      </c>
      <c r="E27" s="126">
        <f t="shared" si="1"/>
        <v>-87</v>
      </c>
      <c r="F27" s="126">
        <f t="shared" si="1"/>
        <v>0</v>
      </c>
      <c r="G27" s="485">
        <f>SUM(B27:F27)</f>
        <v>2481365</v>
      </c>
    </row>
    <row r="28" spans="1:7" s="24" customFormat="1" ht="15" customHeight="1">
      <c r="A28" s="435" t="s">
        <v>387</v>
      </c>
      <c r="B28" s="485">
        <f t="shared" si="1"/>
        <v>5616</v>
      </c>
      <c r="C28" s="485">
        <f t="shared" si="1"/>
        <v>19492</v>
      </c>
      <c r="D28" s="485">
        <f t="shared" si="1"/>
        <v>0</v>
      </c>
      <c r="E28" s="485">
        <f t="shared" si="1"/>
        <v>0</v>
      </c>
      <c r="F28" s="126">
        <f t="shared" si="1"/>
        <v>0</v>
      </c>
      <c r="G28" s="485">
        <f>SUM(B28:F28)</f>
        <v>25108</v>
      </c>
    </row>
    <row r="29" spans="1:7" s="24" customFormat="1" ht="15" customHeight="1" thickBot="1">
      <c r="A29" s="433" t="s">
        <v>376</v>
      </c>
      <c r="B29" s="544">
        <f aca="true" t="shared" si="2" ref="B29:G29">SUM(B26:B28)</f>
        <v>2732957</v>
      </c>
      <c r="C29" s="544">
        <f t="shared" si="2"/>
        <v>8677209</v>
      </c>
      <c r="D29" s="544">
        <f t="shared" si="2"/>
        <v>-8799</v>
      </c>
      <c r="E29" s="544">
        <f t="shared" si="2"/>
        <v>-453</v>
      </c>
      <c r="F29" s="910">
        <f t="shared" si="2"/>
        <v>0</v>
      </c>
      <c r="G29" s="544">
        <f t="shared" si="2"/>
        <v>11400914</v>
      </c>
    </row>
    <row r="30" spans="1:7" s="24" customFormat="1" ht="15" customHeight="1" thickTop="1">
      <c r="A30" s="433"/>
      <c r="B30" s="477"/>
      <c r="C30" s="477"/>
      <c r="D30" s="477"/>
      <c r="E30" s="787"/>
      <c r="F30" s="787"/>
      <c r="G30" s="477"/>
    </row>
    <row r="31" spans="1:7" s="788" customFormat="1" ht="15" customHeight="1">
      <c r="A31" s="971" t="s">
        <v>471</v>
      </c>
      <c r="B31" s="971"/>
      <c r="C31" s="971"/>
      <c r="D31" s="971"/>
      <c r="E31" s="971"/>
      <c r="F31" s="971"/>
      <c r="G31" s="971"/>
    </row>
    <row r="32" spans="1:7" s="788" customFormat="1" ht="15" customHeight="1">
      <c r="A32" s="971"/>
      <c r="B32" s="971"/>
      <c r="C32" s="971"/>
      <c r="D32" s="971"/>
      <c r="E32" s="971"/>
      <c r="F32" s="971"/>
      <c r="G32" s="971"/>
    </row>
    <row r="33" spans="1:7" s="788" customFormat="1" ht="15" customHeight="1">
      <c r="A33" s="971"/>
      <c r="B33" s="971"/>
      <c r="C33" s="971"/>
      <c r="D33" s="971"/>
      <c r="E33" s="971"/>
      <c r="F33" s="971"/>
      <c r="G33" s="971"/>
    </row>
    <row r="34" spans="1:7" ht="15" customHeight="1">
      <c r="A34" s="135"/>
      <c r="B34" s="972" t="s">
        <v>429</v>
      </c>
      <c r="C34" s="972" t="s">
        <v>456</v>
      </c>
      <c r="D34" s="135"/>
      <c r="E34" s="849"/>
      <c r="F34" s="972" t="s">
        <v>429</v>
      </c>
      <c r="G34" s="972" t="s">
        <v>456</v>
      </c>
    </row>
    <row r="35" spans="1:7" ht="15" customHeight="1">
      <c r="A35" s="850" t="s">
        <v>314</v>
      </c>
      <c r="B35" s="972"/>
      <c r="C35" s="972"/>
      <c r="D35" s="135"/>
      <c r="E35" s="851" t="s">
        <v>314</v>
      </c>
      <c r="F35" s="972"/>
      <c r="G35" s="972"/>
    </row>
    <row r="36" spans="1:8" ht="15" customHeight="1">
      <c r="A36" s="852" t="s">
        <v>492</v>
      </c>
      <c r="B36" s="852">
        <v>1887597</v>
      </c>
      <c r="C36" s="852">
        <f>B36+471393</f>
        <v>2358990</v>
      </c>
      <c r="D36" s="904" t="s">
        <v>493</v>
      </c>
      <c r="E36" s="852">
        <f>'[12]1Q06'!$G$28</f>
        <v>440212</v>
      </c>
      <c r="F36" s="852">
        <v>1708249</v>
      </c>
      <c r="G36" s="852">
        <f>E36+F36</f>
        <v>2148461</v>
      </c>
      <c r="H36" s="4"/>
    </row>
    <row r="37" spans="1:8" ht="15" customHeight="1">
      <c r="A37" s="852" t="s">
        <v>494</v>
      </c>
      <c r="B37" s="852">
        <v>1888109</v>
      </c>
      <c r="C37" s="852">
        <f>B37+466321</f>
        <v>2354430</v>
      </c>
      <c r="D37" s="904" t="s">
        <v>497</v>
      </c>
      <c r="E37" s="852">
        <v>517214</v>
      </c>
      <c r="F37" s="852">
        <v>1790008</v>
      </c>
      <c r="G37" s="852">
        <f>E37+F37</f>
        <v>2307222</v>
      </c>
      <c r="H37" s="4"/>
    </row>
    <row r="38" spans="1:8" ht="15" customHeight="1">
      <c r="A38" s="852" t="s">
        <v>495</v>
      </c>
      <c r="B38" s="852">
        <v>1926953</v>
      </c>
      <c r="C38" s="852">
        <f>B38+462884</f>
        <v>2389837</v>
      </c>
      <c r="D38" s="852"/>
      <c r="E38" s="852"/>
      <c r="F38" s="852"/>
      <c r="G38" s="852"/>
      <c r="H38" s="4"/>
    </row>
    <row r="39" spans="1:8" ht="15" customHeight="1">
      <c r="A39" s="852" t="s">
        <v>496</v>
      </c>
      <c r="B39" s="852">
        <v>1752828</v>
      </c>
      <c r="C39" s="852">
        <f>B39+458201</f>
        <v>2211029</v>
      </c>
      <c r="D39" s="852"/>
      <c r="E39" s="852"/>
      <c r="F39" s="852"/>
      <c r="G39" s="852"/>
      <c r="H39" s="4"/>
    </row>
    <row r="40" spans="1:7" s="135" customFormat="1" ht="15" customHeight="1">
      <c r="A40" s="853"/>
      <c r="B40" s="854"/>
      <c r="C40" s="854"/>
      <c r="D40" s="854"/>
      <c r="E40" s="853"/>
      <c r="F40" s="855"/>
      <c r="G40" s="855"/>
    </row>
    <row r="41" spans="1:7" s="135" customFormat="1" ht="15" customHeight="1">
      <c r="A41" s="971" t="s">
        <v>432</v>
      </c>
      <c r="B41" s="971"/>
      <c r="C41" s="971"/>
      <c r="D41" s="971"/>
      <c r="E41" s="971"/>
      <c r="F41" s="971"/>
      <c r="G41" s="971"/>
    </row>
    <row r="42" spans="1:7" s="135" customFormat="1" ht="15" customHeight="1">
      <c r="A42" s="971"/>
      <c r="B42" s="971"/>
      <c r="C42" s="971"/>
      <c r="D42" s="971"/>
      <c r="E42" s="971"/>
      <c r="F42" s="971"/>
      <c r="G42" s="971"/>
    </row>
    <row r="43" spans="1:7" s="135" customFormat="1" ht="15" customHeight="1">
      <c r="A43" s="853"/>
      <c r="B43" s="854"/>
      <c r="C43" s="854"/>
      <c r="D43" s="854"/>
      <c r="E43" s="853"/>
      <c r="F43" s="855"/>
      <c r="G43" s="855"/>
    </row>
    <row r="44" spans="1:7" s="135" customFormat="1" ht="15" customHeight="1">
      <c r="A44" s="853"/>
      <c r="B44" s="854"/>
      <c r="C44" s="854"/>
      <c r="D44" s="854"/>
      <c r="E44" s="853"/>
      <c r="F44" s="855"/>
      <c r="G44" s="855"/>
    </row>
    <row r="45" spans="1:7" s="135" customFormat="1" ht="15" customHeight="1">
      <c r="A45" s="853"/>
      <c r="B45" s="854"/>
      <c r="C45" s="854"/>
      <c r="D45" s="854"/>
      <c r="E45" s="853"/>
      <c r="F45" s="855"/>
      <c r="G45" s="855"/>
    </row>
    <row r="46" spans="1:7" s="135" customFormat="1" ht="15" customHeight="1">
      <c r="A46" s="853"/>
      <c r="B46" s="854"/>
      <c r="C46" s="854"/>
      <c r="D46" s="854"/>
      <c r="E46" s="853"/>
      <c r="F46" s="855"/>
      <c r="G46" s="855"/>
    </row>
    <row r="47" spans="1:7" s="135" customFormat="1" ht="15" customHeight="1">
      <c r="A47" s="853"/>
      <c r="B47" s="854"/>
      <c r="C47" s="854"/>
      <c r="D47" s="854"/>
      <c r="E47" s="853"/>
      <c r="F47" s="855"/>
      <c r="G47" s="855"/>
    </row>
    <row r="48" spans="1:7" s="135" customFormat="1" ht="15" customHeight="1">
      <c r="A48" s="853"/>
      <c r="B48" s="854"/>
      <c r="C48" s="854"/>
      <c r="D48" s="854"/>
      <c r="E48" s="853"/>
      <c r="F48" s="855"/>
      <c r="G48" s="855"/>
    </row>
    <row r="49" spans="1:7" s="135" customFormat="1" ht="15" customHeight="1">
      <c r="A49" s="853"/>
      <c r="B49" s="854"/>
      <c r="C49" s="854"/>
      <c r="D49" s="854"/>
      <c r="E49" s="853"/>
      <c r="F49" s="855"/>
      <c r="G49" s="855"/>
    </row>
    <row r="50" spans="1:7" s="135" customFormat="1" ht="15" customHeight="1">
      <c r="A50" s="853"/>
      <c r="B50" s="854"/>
      <c r="C50" s="854"/>
      <c r="D50" s="854"/>
      <c r="E50" s="853"/>
      <c r="F50" s="855"/>
      <c r="G50" s="855"/>
    </row>
    <row r="51" spans="1:7" s="135" customFormat="1" ht="15" customHeight="1">
      <c r="A51" s="853"/>
      <c r="B51" s="854"/>
      <c r="C51" s="854"/>
      <c r="D51" s="854"/>
      <c r="E51" s="853"/>
      <c r="F51" s="855"/>
      <c r="G51" s="855"/>
    </row>
    <row r="52" spans="1:7" s="135" customFormat="1" ht="15" customHeight="1">
      <c r="A52" s="853"/>
      <c r="B52" s="854"/>
      <c r="C52" s="854"/>
      <c r="D52" s="854"/>
      <c r="E52" s="853"/>
      <c r="F52" s="855"/>
      <c r="G52" s="855"/>
    </row>
    <row r="53" spans="1:7" s="135" customFormat="1" ht="15" customHeight="1">
      <c r="A53" s="853"/>
      <c r="B53" s="854"/>
      <c r="C53" s="854"/>
      <c r="D53" s="854"/>
      <c r="E53" s="853"/>
      <c r="F53" s="855"/>
      <c r="G53" s="855"/>
    </row>
    <row r="54" spans="1:7" s="135" customFormat="1" ht="15" customHeight="1">
      <c r="A54" s="853"/>
      <c r="B54" s="854"/>
      <c r="C54" s="854"/>
      <c r="D54" s="854"/>
      <c r="E54" s="853"/>
      <c r="F54" s="855"/>
      <c r="G54" s="855"/>
    </row>
    <row r="55" spans="1:7" s="135" customFormat="1" ht="15" customHeight="1">
      <c r="A55" s="853"/>
      <c r="B55" s="854"/>
      <c r="C55" s="854"/>
      <c r="D55" s="854"/>
      <c r="E55" s="853"/>
      <c r="F55" s="855"/>
      <c r="G55" s="855"/>
    </row>
    <row r="56" spans="1:7" s="135" customFormat="1" ht="15" customHeight="1">
      <c r="A56" s="853"/>
      <c r="B56" s="854"/>
      <c r="C56" s="854"/>
      <c r="D56" s="854"/>
      <c r="E56" s="853"/>
      <c r="F56" s="855"/>
      <c r="G56" s="855"/>
    </row>
    <row r="57" spans="1:7" s="135" customFormat="1" ht="15" customHeight="1">
      <c r="A57" s="853"/>
      <c r="B57" s="854"/>
      <c r="C57" s="854"/>
      <c r="D57" s="854"/>
      <c r="E57" s="853"/>
      <c r="F57" s="855"/>
      <c r="G57" s="855"/>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59.00390625" style="901" customWidth="1"/>
    <col min="2" max="4" width="16.7109375" style="565" customWidth="1"/>
    <col min="5" max="7" width="16.7109375" style="566" customWidth="1"/>
    <col min="8" max="16384" width="15.7109375" style="340" customWidth="1"/>
  </cols>
  <sheetData>
    <row r="1" spans="1:7" s="363" customFormat="1" ht="24.75" customHeight="1">
      <c r="A1" s="973" t="s">
        <v>248</v>
      </c>
      <c r="B1" s="973"/>
      <c r="C1" s="973"/>
      <c r="D1" s="973"/>
      <c r="E1" s="973"/>
      <c r="F1" s="973"/>
      <c r="G1" s="973"/>
    </row>
    <row r="2" spans="1:7" s="166" customFormat="1" ht="15" customHeight="1">
      <c r="A2" s="897"/>
      <c r="B2" s="856"/>
      <c r="C2" s="856"/>
      <c r="D2" s="856"/>
      <c r="E2" s="856"/>
      <c r="F2" s="856"/>
      <c r="G2" s="856"/>
    </row>
    <row r="3" spans="1:7" s="167" customFormat="1" ht="15" customHeight="1">
      <c r="A3" s="974" t="s">
        <v>382</v>
      </c>
      <c r="B3" s="974"/>
      <c r="C3" s="974"/>
      <c r="D3" s="974"/>
      <c r="E3" s="974"/>
      <c r="F3" s="974"/>
      <c r="G3" s="974"/>
    </row>
    <row r="4" spans="1:7" s="167" customFormat="1" ht="15" customHeight="1">
      <c r="A4" s="974" t="s">
        <v>475</v>
      </c>
      <c r="B4" s="974"/>
      <c r="C4" s="974"/>
      <c r="D4" s="974"/>
      <c r="E4" s="974"/>
      <c r="F4" s="974"/>
      <c r="G4" s="974"/>
    </row>
    <row r="5" spans="1:7" s="364" customFormat="1" ht="15" customHeight="1">
      <c r="A5" s="897"/>
      <c r="B5" s="564"/>
      <c r="C5" s="564"/>
      <c r="D5" s="564"/>
      <c r="E5" s="856"/>
      <c r="F5" s="856"/>
      <c r="G5" s="856"/>
    </row>
    <row r="6" spans="1:7" ht="30" customHeight="1">
      <c r="A6" s="898" t="s">
        <v>76</v>
      </c>
      <c r="B6" s="881" t="s">
        <v>476</v>
      </c>
      <c r="C6" s="881" t="s">
        <v>466</v>
      </c>
      <c r="D6" s="881" t="s">
        <v>190</v>
      </c>
      <c r="E6" s="881" t="s">
        <v>39</v>
      </c>
      <c r="F6" s="881" t="s">
        <v>477</v>
      </c>
      <c r="G6" s="881" t="s">
        <v>249</v>
      </c>
    </row>
    <row r="7" spans="1:7" ht="15" customHeight="1">
      <c r="A7" s="898"/>
      <c r="B7" s="857"/>
      <c r="C7" s="857"/>
      <c r="D7" s="857"/>
      <c r="E7" s="857"/>
      <c r="F7" s="857"/>
      <c r="G7" s="857"/>
    </row>
    <row r="8" spans="1:7" ht="15" customHeight="1">
      <c r="A8" s="898" t="s">
        <v>383</v>
      </c>
      <c r="B8" s="857"/>
      <c r="C8" s="857"/>
      <c r="D8" s="857"/>
      <c r="E8" s="857"/>
      <c r="F8" s="857"/>
      <c r="G8" s="857"/>
    </row>
    <row r="9" spans="1:7" ht="15" customHeight="1">
      <c r="A9" s="898" t="s">
        <v>488</v>
      </c>
      <c r="B9" s="858"/>
      <c r="C9" s="858"/>
      <c r="D9" s="858"/>
      <c r="E9" s="858"/>
      <c r="F9" s="858"/>
      <c r="G9" s="858"/>
    </row>
    <row r="10" spans="1:7" ht="15" customHeight="1">
      <c r="A10" s="899" t="s">
        <v>385</v>
      </c>
      <c r="B10" s="476">
        <f>'[11]Loss Expenses Paid QTD-15'!E34</f>
        <v>122810.06</v>
      </c>
      <c r="C10" s="476">
        <f>'[11]Loss Expenses Paid QTD-15'!E28+'[13]2Q06 Trial Balance'!C287</f>
        <v>2648677.13</v>
      </c>
      <c r="D10" s="476">
        <f>'[11]Loss Expenses Paid QTD-15'!E22+'[13]2Q06 Trial Balance'!C285</f>
        <v>218600.91999999998</v>
      </c>
      <c r="E10" s="476">
        <f>'[11]Loss Expenses Paid QTD-15'!E16+'[13]2Q06 Trial Balance'!C282</f>
        <v>9387.89</v>
      </c>
      <c r="F10" s="476">
        <f>'[11]Loss Expenses Paid QTD-15'!E10+'[13]2Q06 Trial Balance'!D280</f>
        <v>-17743.34</v>
      </c>
      <c r="G10" s="476">
        <f>SUM(B10:F10)</f>
        <v>2981732.66</v>
      </c>
    </row>
    <row r="11" spans="1:7" ht="15" customHeight="1">
      <c r="A11" s="899" t="s">
        <v>386</v>
      </c>
      <c r="B11" s="859">
        <f>'[11]Loss Expenses Paid QTD-15'!E35</f>
        <v>24803.06</v>
      </c>
      <c r="C11" s="859">
        <f>'[11]Loss Expenses Paid QTD-15'!E29+'[13]2Q06 Trial Balance'!C288</f>
        <v>201669.75</v>
      </c>
      <c r="D11" s="859">
        <f>'[11]Loss Expenses Paid QTD-15'!E23</f>
        <v>20301.27</v>
      </c>
      <c r="E11" s="859">
        <f>'[13]2Q06 Trial Balance'!C283</f>
        <v>-3273.33</v>
      </c>
      <c r="F11" s="859">
        <f>'[11]Loss Expenses Paid QTD-15'!E11</f>
        <v>0</v>
      </c>
      <c r="G11" s="859">
        <f>SUM(B11:F11)</f>
        <v>243500.75</v>
      </c>
    </row>
    <row r="12" spans="1:7" ht="15" customHeight="1">
      <c r="A12" s="899" t="s">
        <v>387</v>
      </c>
      <c r="B12" s="859">
        <f>'[11]Loss Expenses Paid QTD-15'!E36</f>
        <v>0</v>
      </c>
      <c r="C12" s="859">
        <f>'[11]Loss Expenses Paid QTD-15'!E30</f>
        <v>4458.3</v>
      </c>
      <c r="D12" s="859">
        <f>'[11]Loss Expenses Paid QTD-15'!E24</f>
        <v>0</v>
      </c>
      <c r="E12" s="859">
        <f>'[11]Loss Expenses Paid QTD-15'!E18</f>
        <v>0</v>
      </c>
      <c r="F12" s="859">
        <f>'[11]Loss Expenses Paid QTD-15'!E12</f>
        <v>0</v>
      </c>
      <c r="G12" s="859">
        <f>SUM(B12:F12)</f>
        <v>4458.3</v>
      </c>
    </row>
    <row r="13" spans="1:7" ht="15" customHeight="1" thickBot="1">
      <c r="A13" s="900" t="s">
        <v>376</v>
      </c>
      <c r="B13" s="832">
        <f aca="true" t="shared" si="0" ref="B13:G13">SUM(B10:B12)</f>
        <v>147613.12</v>
      </c>
      <c r="C13" s="832">
        <f t="shared" si="0"/>
        <v>2854805.1799999997</v>
      </c>
      <c r="D13" s="832">
        <f t="shared" si="0"/>
        <v>238902.18999999997</v>
      </c>
      <c r="E13" s="860">
        <f t="shared" si="0"/>
        <v>6114.5599999999995</v>
      </c>
      <c r="F13" s="860">
        <f t="shared" si="0"/>
        <v>-17743.34</v>
      </c>
      <c r="G13" s="903">
        <f t="shared" si="0"/>
        <v>3229691.71</v>
      </c>
    </row>
    <row r="14" spans="1:7" ht="15" customHeight="1" thickTop="1">
      <c r="A14" s="898"/>
      <c r="B14" s="862"/>
      <c r="C14" s="862"/>
      <c r="D14" s="862"/>
      <c r="E14" s="859"/>
      <c r="F14" s="859"/>
      <c r="G14" s="859"/>
    </row>
    <row r="15" spans="1:7" ht="15" customHeight="1">
      <c r="A15" s="898" t="s">
        <v>484</v>
      </c>
      <c r="B15" s="862"/>
      <c r="C15" s="862"/>
      <c r="D15" s="862"/>
      <c r="E15" s="859"/>
      <c r="F15" s="859"/>
      <c r="G15" s="859"/>
    </row>
    <row r="16" spans="1:7" ht="15" customHeight="1">
      <c r="A16" s="899" t="s">
        <v>388</v>
      </c>
      <c r="B16" s="859">
        <f>'Losses Incurred YTD-10'!B16</f>
        <v>716405</v>
      </c>
      <c r="C16" s="859">
        <f>'Losses Incurred YTD-10'!C16</f>
        <v>2849364.1</v>
      </c>
      <c r="D16" s="859">
        <f>'Losses Incurred YTD-10'!D16</f>
        <v>75980</v>
      </c>
      <c r="E16" s="859">
        <f>'Losses Incurred YTD-10'!E16</f>
        <v>40000.65</v>
      </c>
      <c r="F16" s="859">
        <f>'Losses Incurred YTD-10'!F16</f>
        <v>0</v>
      </c>
      <c r="G16" s="859">
        <f>SUM(B16:F16)</f>
        <v>3681749.75</v>
      </c>
    </row>
    <row r="17" spans="1:7" ht="15" customHeight="1">
      <c r="A17" s="899" t="s">
        <v>389</v>
      </c>
      <c r="B17" s="859">
        <f>'Losses Incurred YTD-10'!B17</f>
        <v>77125.79</v>
      </c>
      <c r="C17" s="859">
        <f>'Losses Incurred YTD-10'!C17</f>
        <v>135523.01</v>
      </c>
      <c r="D17" s="859">
        <f>'Losses Incurred YTD-10'!D17</f>
        <v>8005</v>
      </c>
      <c r="E17" s="859">
        <f>'Losses Incurred YTD-10'!E17</f>
        <v>0</v>
      </c>
      <c r="F17" s="859">
        <f>'Losses Incurred YTD-10'!F17</f>
        <v>3300</v>
      </c>
      <c r="G17" s="859">
        <f>SUM(B17:F17)</f>
        <v>223953.8</v>
      </c>
    </row>
    <row r="18" spans="1:7" ht="15" customHeight="1">
      <c r="A18" s="899" t="s">
        <v>390</v>
      </c>
      <c r="B18" s="859">
        <f>'Losses Incurred YTD-10'!B18</f>
        <v>0</v>
      </c>
      <c r="C18" s="859">
        <f>'Losses Incurred YTD-10'!C18</f>
        <v>2800</v>
      </c>
      <c r="D18" s="859">
        <f>'Losses Incurred YTD-10'!D18</f>
        <v>0</v>
      </c>
      <c r="E18" s="859">
        <f>'Losses Incurred YTD-10'!E18</f>
        <v>0</v>
      </c>
      <c r="F18" s="859">
        <f>'Losses Incurred YTD-10'!F18</f>
        <v>0</v>
      </c>
      <c r="G18" s="859">
        <f>SUM(B18:F18)</f>
        <v>2800</v>
      </c>
    </row>
    <row r="19" spans="1:7" ht="15" customHeight="1" thickBot="1">
      <c r="A19" s="900" t="s">
        <v>376</v>
      </c>
      <c r="B19" s="832">
        <f aca="true" t="shared" si="1" ref="B19:G19">SUM(B16:B18)</f>
        <v>793530.79</v>
      </c>
      <c r="C19" s="832">
        <f t="shared" si="1"/>
        <v>2987687.1100000003</v>
      </c>
      <c r="D19" s="832">
        <f t="shared" si="1"/>
        <v>83985</v>
      </c>
      <c r="E19" s="860">
        <f t="shared" si="1"/>
        <v>40000.65</v>
      </c>
      <c r="F19" s="860">
        <f t="shared" si="1"/>
        <v>3300</v>
      </c>
      <c r="G19" s="861">
        <f t="shared" si="1"/>
        <v>3908503.55</v>
      </c>
    </row>
    <row r="20" spans="1:7" ht="15" customHeight="1" thickTop="1">
      <c r="A20" s="898"/>
      <c r="B20" s="829"/>
      <c r="C20" s="829"/>
      <c r="D20" s="829"/>
      <c r="E20" s="863"/>
      <c r="F20" s="863"/>
      <c r="G20" s="863"/>
    </row>
    <row r="21" spans="1:7" ht="15" customHeight="1">
      <c r="A21" s="898" t="s">
        <v>485</v>
      </c>
      <c r="B21" s="864"/>
      <c r="C21" s="864"/>
      <c r="D21" s="864"/>
      <c r="E21" s="864"/>
      <c r="F21" s="864"/>
      <c r="G21" s="864"/>
    </row>
    <row r="22" spans="1:7" ht="15" customHeight="1">
      <c r="A22" s="899" t="s">
        <v>388</v>
      </c>
      <c r="B22" s="859">
        <f>'Losses Incurred YTD-10'!B22</f>
        <v>650209.59</v>
      </c>
      <c r="C22" s="859">
        <f>'Losses Incurred YTD-10'!C22</f>
        <v>203482.88</v>
      </c>
      <c r="D22" s="859">
        <f>'Losses Incurred YTD-10'!D22</f>
        <v>121093.94</v>
      </c>
      <c r="E22" s="859">
        <f>'Losses Incurred YTD-10'!E22</f>
        <v>45738</v>
      </c>
      <c r="F22" s="859">
        <f>'Losses Incurred YTD-10'!F22</f>
        <v>0</v>
      </c>
      <c r="G22" s="859">
        <f>SUM(B22:F22)+1</f>
        <v>1020525.4099999999</v>
      </c>
    </row>
    <row r="23" spans="1:7" ht="15" customHeight="1">
      <c r="A23" s="899" t="s">
        <v>389</v>
      </c>
      <c r="B23" s="859">
        <f>'Losses Incurred YTD-10'!B23</f>
        <v>69999.41</v>
      </c>
      <c r="C23" s="859">
        <f>'Losses Incurred YTD-10'!C23</f>
        <v>9678.16</v>
      </c>
      <c r="D23" s="859">
        <f>'Losses Incurred YTD-10'!D23</f>
        <v>12758.06</v>
      </c>
      <c r="E23" s="859">
        <f>'Losses Incurred YTD-10'!E23</f>
        <v>0</v>
      </c>
      <c r="F23" s="859">
        <f>'Losses Incurred YTD-10'!F23</f>
        <v>4459</v>
      </c>
      <c r="G23" s="859">
        <f>SUM(B23:F23)-1</f>
        <v>96893.63</v>
      </c>
    </row>
    <row r="24" spans="1:7" ht="15" customHeight="1">
      <c r="A24" s="899" t="s">
        <v>390</v>
      </c>
      <c r="B24" s="859">
        <f>'Losses Incurred YTD-10'!B24</f>
        <v>0</v>
      </c>
      <c r="C24" s="859">
        <f>'Losses Incurred YTD-10'!C24</f>
        <v>199.96</v>
      </c>
      <c r="D24" s="859">
        <f>'Losses Incurred YTD-10'!D24</f>
        <v>0</v>
      </c>
      <c r="E24" s="859">
        <f>'Losses Incurred YTD-10'!E24</f>
        <v>0</v>
      </c>
      <c r="F24" s="859">
        <f>'Losses Incurred YTD-10'!F24</f>
        <v>0</v>
      </c>
      <c r="G24" s="859">
        <f>SUM(B24:F24)</f>
        <v>199.96</v>
      </c>
    </row>
    <row r="25" spans="1:7" ht="15" customHeight="1" thickBot="1">
      <c r="A25" s="900" t="s">
        <v>376</v>
      </c>
      <c r="B25" s="832">
        <f aca="true" t="shared" si="2" ref="B25:G25">SUM(B22:B24)</f>
        <v>720209</v>
      </c>
      <c r="C25" s="832">
        <f t="shared" si="2"/>
        <v>213361</v>
      </c>
      <c r="D25" s="832">
        <f t="shared" si="2"/>
        <v>133852</v>
      </c>
      <c r="E25" s="860">
        <f t="shared" si="2"/>
        <v>45738</v>
      </c>
      <c r="F25" s="860">
        <f t="shared" si="2"/>
        <v>4459</v>
      </c>
      <c r="G25" s="861">
        <f t="shared" si="2"/>
        <v>1117619</v>
      </c>
    </row>
    <row r="26" spans="1:7" ht="15" customHeight="1" thickTop="1">
      <c r="A26" s="898"/>
      <c r="B26" s="862"/>
      <c r="C26" s="862"/>
      <c r="D26" s="862"/>
      <c r="E26" s="859"/>
      <c r="F26" s="859"/>
      <c r="G26" s="859"/>
    </row>
    <row r="27" spans="1:7" ht="15" customHeight="1">
      <c r="A27" s="898" t="s">
        <v>487</v>
      </c>
      <c r="B27" s="865"/>
      <c r="C27" s="865"/>
      <c r="D27" s="865"/>
      <c r="E27" s="859"/>
      <c r="F27" s="859"/>
      <c r="G27" s="859"/>
    </row>
    <row r="28" spans="1:7" ht="15" customHeight="1">
      <c r="A28" s="898" t="s">
        <v>489</v>
      </c>
      <c r="B28" s="865"/>
      <c r="C28" s="865"/>
      <c r="D28" s="865"/>
      <c r="E28" s="859"/>
      <c r="F28" s="859"/>
      <c r="G28" s="859"/>
    </row>
    <row r="29" spans="1:7" ht="15" customHeight="1">
      <c r="A29" s="899" t="s">
        <v>388</v>
      </c>
      <c r="B29" s="862">
        <v>406874.04</v>
      </c>
      <c r="C29" s="862">
        <v>3838043.66</v>
      </c>
      <c r="D29" s="862">
        <v>382605.58</v>
      </c>
      <c r="E29" s="862">
        <v>98184.55</v>
      </c>
      <c r="F29" s="862">
        <v>0</v>
      </c>
      <c r="G29" s="859">
        <f>SUM(B29:F29)+1</f>
        <v>4725708.83</v>
      </c>
    </row>
    <row r="30" spans="1:7" ht="15" customHeight="1">
      <c r="A30" s="899" t="s">
        <v>389</v>
      </c>
      <c r="B30" s="862">
        <v>67806.96</v>
      </c>
      <c r="C30" s="862">
        <v>319524.3</v>
      </c>
      <c r="D30" s="862">
        <v>30941.74</v>
      </c>
      <c r="E30" s="862">
        <v>0</v>
      </c>
      <c r="F30" s="862">
        <v>0</v>
      </c>
      <c r="G30" s="859">
        <f>SUM(B30:F30)</f>
        <v>418273</v>
      </c>
    </row>
    <row r="31" spans="1:7" ht="15" customHeight="1">
      <c r="A31" s="899" t="s">
        <v>390</v>
      </c>
      <c r="B31" s="862">
        <v>0</v>
      </c>
      <c r="C31" s="862">
        <v>2891.96</v>
      </c>
      <c r="D31" s="862">
        <v>0</v>
      </c>
      <c r="E31" s="862">
        <v>0</v>
      </c>
      <c r="F31" s="862">
        <v>0</v>
      </c>
      <c r="G31" s="859">
        <f>SUM(B31:F31)</f>
        <v>2891.96</v>
      </c>
    </row>
    <row r="32" spans="1:7" ht="15" customHeight="1" thickBot="1">
      <c r="A32" s="900" t="s">
        <v>376</v>
      </c>
      <c r="B32" s="832">
        <f aca="true" t="shared" si="3" ref="B32:G32">SUM(B29:B31)</f>
        <v>474681</v>
      </c>
      <c r="C32" s="832">
        <f t="shared" si="3"/>
        <v>4160459.92</v>
      </c>
      <c r="D32" s="832">
        <f>SUM(D29:D31)+1</f>
        <v>413548.32</v>
      </c>
      <c r="E32" s="860">
        <f t="shared" si="3"/>
        <v>98184.55</v>
      </c>
      <c r="F32" s="860">
        <f>SUM(F29:F31)</f>
        <v>0</v>
      </c>
      <c r="G32" s="861">
        <f t="shared" si="3"/>
        <v>5146873.79</v>
      </c>
    </row>
    <row r="33" spans="1:7" s="866" customFormat="1" ht="15" customHeight="1" thickTop="1">
      <c r="A33" s="898"/>
      <c r="B33" s="865"/>
      <c r="C33" s="865"/>
      <c r="D33" s="865"/>
      <c r="E33" s="865"/>
      <c r="F33" s="865"/>
      <c r="G33" s="865"/>
    </row>
    <row r="34" spans="1:7" ht="15" customHeight="1">
      <c r="A34" s="898" t="s">
        <v>391</v>
      </c>
      <c r="B34" s="862"/>
      <c r="C34" s="862"/>
      <c r="D34" s="862"/>
      <c r="E34" s="859"/>
      <c r="F34" s="859"/>
      <c r="G34" s="859"/>
    </row>
    <row r="35" spans="1:7" ht="15" customHeight="1">
      <c r="A35" s="899" t="s">
        <v>388</v>
      </c>
      <c r="B35" s="859">
        <f aca="true" t="shared" si="4" ref="B35:F37">B10+(B16+B22-B29)</f>
        <v>1082550.6099999999</v>
      </c>
      <c r="C35" s="859">
        <f>C10+(C16+C22-C29)</f>
        <v>1863480.4499999997</v>
      </c>
      <c r="D35" s="859">
        <f t="shared" si="4"/>
        <v>33069.27999999997</v>
      </c>
      <c r="E35" s="859">
        <f t="shared" si="4"/>
        <v>-3058.0100000000093</v>
      </c>
      <c r="F35" s="859">
        <f>F10+(F16+F22-F29)</f>
        <v>-17743.34</v>
      </c>
      <c r="G35" s="859">
        <f>SUM(B35:F35)</f>
        <v>2958298.9899999993</v>
      </c>
    </row>
    <row r="36" spans="1:7" ht="15" customHeight="1">
      <c r="A36" s="899" t="s">
        <v>389</v>
      </c>
      <c r="B36" s="859">
        <f>B11+(B17+B23-B30)</f>
        <v>104121.3</v>
      </c>
      <c r="C36" s="859">
        <f>C11+(C17+C23-C30)</f>
        <v>27346.620000000024</v>
      </c>
      <c r="D36" s="859">
        <f>D11+(D17+D23-D30)-1</f>
        <v>10121.589999999997</v>
      </c>
      <c r="E36" s="859">
        <f>E11+(E17+E23-E30)</f>
        <v>-3273.33</v>
      </c>
      <c r="F36" s="859">
        <f t="shared" si="4"/>
        <v>7759</v>
      </c>
      <c r="G36" s="859">
        <f>SUM(B36:F36)+1</f>
        <v>146076.18000000005</v>
      </c>
    </row>
    <row r="37" spans="1:7" ht="15" customHeight="1">
      <c r="A37" s="899" t="s">
        <v>390</v>
      </c>
      <c r="B37" s="859">
        <f t="shared" si="4"/>
        <v>0</v>
      </c>
      <c r="C37" s="859">
        <f t="shared" si="4"/>
        <v>4566.3</v>
      </c>
      <c r="D37" s="859">
        <f t="shared" si="4"/>
        <v>0</v>
      </c>
      <c r="E37" s="859">
        <f t="shared" si="4"/>
        <v>0</v>
      </c>
      <c r="F37" s="859">
        <f t="shared" si="4"/>
        <v>0</v>
      </c>
      <c r="G37" s="859">
        <f>SUM(B37:F37)</f>
        <v>4566.3</v>
      </c>
    </row>
    <row r="38" spans="1:7" ht="15" customHeight="1" thickBot="1">
      <c r="A38" s="900" t="s">
        <v>376</v>
      </c>
      <c r="B38" s="867">
        <f aca="true" t="shared" si="5" ref="B38:G38">SUM(B35:B37)</f>
        <v>1186671.91</v>
      </c>
      <c r="C38" s="867">
        <f t="shared" si="5"/>
        <v>1895393.3699999999</v>
      </c>
      <c r="D38" s="867">
        <f t="shared" si="5"/>
        <v>43190.869999999966</v>
      </c>
      <c r="E38" s="867">
        <f t="shared" si="5"/>
        <v>-6331.340000000009</v>
      </c>
      <c r="F38" s="867">
        <f t="shared" si="5"/>
        <v>-9984.34</v>
      </c>
      <c r="G38" s="867">
        <f t="shared" si="5"/>
        <v>3108941.4699999993</v>
      </c>
    </row>
    <row r="39" spans="2:7" ht="15" customHeight="1" thickTop="1">
      <c r="B39" s="864"/>
      <c r="C39" s="864"/>
      <c r="D39" s="864"/>
      <c r="G39" s="868"/>
    </row>
    <row r="40" spans="1:7" s="784" customFormat="1" ht="15" customHeight="1">
      <c r="A40" s="902"/>
      <c r="B40" s="785"/>
      <c r="C40" s="785"/>
      <c r="D40" s="785"/>
      <c r="E40" s="786"/>
      <c r="F40" s="786"/>
      <c r="G40" s="786"/>
    </row>
    <row r="41" spans="2:4" ht="15" customHeight="1">
      <c r="B41" s="857"/>
      <c r="C41" s="857"/>
      <c r="D41" s="857"/>
    </row>
    <row r="42" spans="2:4" ht="15" customHeight="1">
      <c r="B42" s="857"/>
      <c r="C42" s="857"/>
      <c r="D42" s="857"/>
    </row>
    <row r="43" spans="2:4" ht="15" customHeight="1">
      <c r="B43" s="857"/>
      <c r="C43" s="857"/>
      <c r="D43" s="857"/>
    </row>
    <row r="44" spans="1:4" ht="15" customHeight="1">
      <c r="A44" s="897"/>
      <c r="B44" s="857"/>
      <c r="C44" s="857"/>
      <c r="D44" s="857"/>
    </row>
    <row r="45" spans="1:4" ht="15" customHeight="1">
      <c r="A45" s="897"/>
      <c r="B45" s="857"/>
      <c r="C45" s="857"/>
      <c r="D45" s="857"/>
    </row>
    <row r="46" spans="1:4" ht="15" customHeight="1">
      <c r="A46" s="897"/>
      <c r="B46" s="857"/>
      <c r="C46" s="857"/>
      <c r="D46" s="857"/>
    </row>
    <row r="47" spans="1:4" ht="15" customHeight="1">
      <c r="A47" s="897"/>
      <c r="B47" s="857"/>
      <c r="C47" s="857"/>
      <c r="D47" s="857"/>
    </row>
    <row r="48" spans="1:4" ht="15" customHeight="1">
      <c r="A48" s="897"/>
      <c r="B48" s="857"/>
      <c r="C48" s="857"/>
      <c r="D48" s="857"/>
    </row>
    <row r="49" spans="1:4" ht="15" customHeight="1">
      <c r="A49" s="897"/>
      <c r="B49" s="857"/>
      <c r="C49" s="857"/>
      <c r="D49" s="857"/>
    </row>
    <row r="50" spans="1:4" ht="15" customHeight="1">
      <c r="A50" s="897"/>
      <c r="B50" s="857"/>
      <c r="C50" s="857"/>
      <c r="D50" s="857"/>
    </row>
    <row r="51" spans="1:4" ht="15" customHeight="1">
      <c r="A51" s="897"/>
      <c r="B51" s="857"/>
      <c r="C51" s="857"/>
      <c r="D51" s="857"/>
    </row>
    <row r="52" spans="1:4" ht="15" customHeight="1">
      <c r="A52" s="897"/>
      <c r="B52" s="857"/>
      <c r="C52" s="857"/>
      <c r="D52" s="857"/>
    </row>
    <row r="53" spans="1:4" ht="15" customHeight="1">
      <c r="A53" s="897"/>
      <c r="B53" s="857"/>
      <c r="C53" s="857"/>
      <c r="D53" s="857"/>
    </row>
    <row r="54" spans="1:4" ht="15" customHeight="1">
      <c r="A54" s="897"/>
      <c r="B54" s="857"/>
      <c r="C54" s="857"/>
      <c r="D54" s="857"/>
    </row>
    <row r="55" spans="1:4" ht="15" customHeight="1">
      <c r="A55" s="897"/>
      <c r="B55" s="857"/>
      <c r="C55" s="857"/>
      <c r="D55" s="857"/>
    </row>
    <row r="56" ht="15" customHeight="1">
      <c r="A56" s="897"/>
    </row>
    <row r="57" ht="15" customHeight="1">
      <c r="A57" s="897"/>
    </row>
    <row r="58" ht="15" customHeight="1">
      <c r="A58" s="897"/>
    </row>
    <row r="59" ht="15" customHeight="1">
      <c r="A59" s="897"/>
    </row>
    <row r="60" ht="15" customHeight="1">
      <c r="A60" s="897"/>
    </row>
    <row r="61" ht="15" customHeight="1">
      <c r="A61" s="897"/>
    </row>
    <row r="62" ht="15" customHeight="1">
      <c r="A62" s="897"/>
    </row>
    <row r="63" ht="15" customHeight="1">
      <c r="A63" s="897"/>
    </row>
    <row r="64" ht="15" customHeight="1">
      <c r="A64" s="897"/>
    </row>
    <row r="65" ht="15" customHeight="1">
      <c r="A65" s="897"/>
    </row>
    <row r="66" ht="15" customHeight="1">
      <c r="A66" s="897"/>
    </row>
    <row r="67" ht="15" customHeight="1">
      <c r="A67" s="897"/>
    </row>
    <row r="68" ht="15" customHeight="1">
      <c r="A68" s="897"/>
    </row>
    <row r="69" ht="15" customHeight="1">
      <c r="A69" s="897"/>
    </row>
    <row r="70" ht="15" customHeight="1">
      <c r="A70" s="897"/>
    </row>
    <row r="71" ht="15" customHeight="1">
      <c r="A71" s="897"/>
    </row>
    <row r="72" ht="15" customHeight="1">
      <c r="A72" s="897"/>
    </row>
    <row r="73" ht="15" customHeight="1">
      <c r="A73" s="897"/>
    </row>
    <row r="74" ht="15" customHeight="1">
      <c r="A74" s="897"/>
    </row>
    <row r="75" ht="15" customHeight="1">
      <c r="A75" s="897"/>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59.00390625" style="901" customWidth="1"/>
    <col min="2" max="4" width="16.7109375" style="565" customWidth="1"/>
    <col min="5" max="7" width="16.7109375" style="566" customWidth="1"/>
    <col min="8" max="16384" width="15.7109375" style="340" customWidth="1"/>
  </cols>
  <sheetData>
    <row r="1" spans="1:7" s="363" customFormat="1" ht="24.75" customHeight="1">
      <c r="A1" s="973" t="s">
        <v>248</v>
      </c>
      <c r="B1" s="973"/>
      <c r="C1" s="973"/>
      <c r="D1" s="973"/>
      <c r="E1" s="973"/>
      <c r="F1" s="973"/>
      <c r="G1" s="973"/>
    </row>
    <row r="2" spans="1:7" s="166" customFormat="1" ht="15" customHeight="1">
      <c r="A2" s="897"/>
      <c r="B2" s="856"/>
      <c r="C2" s="856"/>
      <c r="D2" s="856"/>
      <c r="E2" s="856"/>
      <c r="F2" s="856"/>
      <c r="G2" s="856"/>
    </row>
    <row r="3" spans="1:7" s="167" customFormat="1" ht="15" customHeight="1">
      <c r="A3" s="974" t="s">
        <v>382</v>
      </c>
      <c r="B3" s="974"/>
      <c r="C3" s="974"/>
      <c r="D3" s="974"/>
      <c r="E3" s="974"/>
      <c r="F3" s="974"/>
      <c r="G3" s="974"/>
    </row>
    <row r="4" spans="1:7" s="167" customFormat="1" ht="15" customHeight="1">
      <c r="A4" s="974" t="s">
        <v>474</v>
      </c>
      <c r="B4" s="974"/>
      <c r="C4" s="974"/>
      <c r="D4" s="974"/>
      <c r="E4" s="974"/>
      <c r="F4" s="974"/>
      <c r="G4" s="974"/>
    </row>
    <row r="5" spans="1:7" s="364" customFormat="1" ht="15" customHeight="1">
      <c r="A5" s="897"/>
      <c r="B5" s="564"/>
      <c r="C5" s="564"/>
      <c r="D5" s="564"/>
      <c r="E5" s="856"/>
      <c r="F5" s="856"/>
      <c r="G5" s="856"/>
    </row>
    <row r="6" spans="1:7" ht="30" customHeight="1">
      <c r="A6" s="898" t="s">
        <v>76</v>
      </c>
      <c r="B6" s="881" t="s">
        <v>476</v>
      </c>
      <c r="C6" s="881" t="s">
        <v>466</v>
      </c>
      <c r="D6" s="881" t="s">
        <v>190</v>
      </c>
      <c r="E6" s="881" t="s">
        <v>39</v>
      </c>
      <c r="F6" s="881" t="s">
        <v>477</v>
      </c>
      <c r="G6" s="881" t="s">
        <v>249</v>
      </c>
    </row>
    <row r="7" spans="1:7" ht="15" customHeight="1">
      <c r="A7" s="898"/>
      <c r="B7" s="857"/>
      <c r="C7" s="857"/>
      <c r="D7" s="857"/>
      <c r="E7" s="857"/>
      <c r="F7" s="857"/>
      <c r="G7" s="857"/>
    </row>
    <row r="8" spans="1:7" ht="15" customHeight="1">
      <c r="A8" s="898" t="s">
        <v>383</v>
      </c>
      <c r="B8" s="857"/>
      <c r="C8" s="857"/>
      <c r="D8" s="857"/>
      <c r="E8" s="857"/>
      <c r="F8" s="857"/>
      <c r="G8" s="857"/>
    </row>
    <row r="9" spans="1:7" ht="15" customHeight="1">
      <c r="A9" s="898" t="s">
        <v>488</v>
      </c>
      <c r="B9" s="858"/>
      <c r="C9" s="858"/>
      <c r="D9" s="858"/>
      <c r="E9" s="858"/>
      <c r="F9" s="858"/>
      <c r="G9" s="858"/>
    </row>
    <row r="10" spans="1:7" ht="15" customHeight="1">
      <c r="A10" s="899" t="s">
        <v>385</v>
      </c>
      <c r="B10" s="476">
        <f>'[11]Loss Expenses Paid YTD-16'!E34</f>
        <v>122810.06</v>
      </c>
      <c r="C10" s="476">
        <f>'[11]Loss Expenses Paid YTD-16'!E28+'[13]2Q06 Trial Balance'!E287</f>
        <v>4675064</v>
      </c>
      <c r="D10" s="476">
        <f>'[11]Loss Expenses Paid YTD-16'!E22+'[13]2Q06 Trial Balance'!E285</f>
        <v>960187.9</v>
      </c>
      <c r="E10" s="476">
        <f>'[11]Loss Expenses Paid YTD-16'!E16+'[13]2Q06 Trial Balance'!E282</f>
        <v>13617.96</v>
      </c>
      <c r="F10" s="476">
        <f>'[11]Loss Expenses Paid YTD-16'!E10+'[13]2Q06 Trial Balance'!F280</f>
        <v>72015.42</v>
      </c>
      <c r="G10" s="476">
        <f>SUM(B10:F10)</f>
        <v>5843695.34</v>
      </c>
    </row>
    <row r="11" spans="1:7" ht="15" customHeight="1">
      <c r="A11" s="899" t="s">
        <v>386</v>
      </c>
      <c r="B11" s="859">
        <f>'[11]Loss Expenses Paid YTD-16'!E35</f>
        <v>36638.56</v>
      </c>
      <c r="C11" s="859">
        <f>'[11]Loss Expenses Paid YTD-16'!E29+'[13]2Q06 Trial Balance'!E288</f>
        <v>517202.91</v>
      </c>
      <c r="D11" s="859">
        <f>'[11]Loss Expenses Paid YTD-16'!E23</f>
        <v>55308.71</v>
      </c>
      <c r="E11" s="859">
        <f>'[11]Loss Expenses Paid YTD-16'!E17+'[13]2Q06 Trial Balance'!E283</f>
        <v>14982.14</v>
      </c>
      <c r="F11" s="859">
        <f>'[11]Loss Expenses Paid YTD-16'!E11</f>
        <v>1000</v>
      </c>
      <c r="G11" s="859">
        <f>SUM(B11:F11)+1</f>
        <v>625133.32</v>
      </c>
    </row>
    <row r="12" spans="1:7" ht="15" customHeight="1">
      <c r="A12" s="899" t="s">
        <v>387</v>
      </c>
      <c r="B12" s="859">
        <f>'[11]Loss Expenses Paid YTD-16'!E36</f>
        <v>0</v>
      </c>
      <c r="C12" s="859">
        <f>'[11]Loss Expenses Paid YTD-16'!E30</f>
        <v>4458.3</v>
      </c>
      <c r="D12" s="859">
        <f>'[11]Loss Expenses Paid YTD-16'!E24</f>
        <v>0</v>
      </c>
      <c r="E12" s="859">
        <f>'[11]Loss Expenses Paid YTD-16'!E18</f>
        <v>0</v>
      </c>
      <c r="F12" s="859">
        <f>'[11]Loss Expenses Paid YTD-16'!E12</f>
        <v>0</v>
      </c>
      <c r="G12" s="859">
        <f>SUM(B12:F12)</f>
        <v>4458.3</v>
      </c>
    </row>
    <row r="13" spans="1:7" ht="15" customHeight="1" thickBot="1">
      <c r="A13" s="900" t="s">
        <v>376</v>
      </c>
      <c r="B13" s="832">
        <f>SUM(B10:B12)</f>
        <v>159448.62</v>
      </c>
      <c r="C13" s="832">
        <f>SUM(C10:C12)</f>
        <v>5196725.21</v>
      </c>
      <c r="D13" s="832">
        <f>SUM(D10:D12)</f>
        <v>1015496.61</v>
      </c>
      <c r="E13" s="860">
        <f>SUM(E10:E12)</f>
        <v>28600.1</v>
      </c>
      <c r="F13" s="860">
        <f>SUM(F10:F12)</f>
        <v>73015.42</v>
      </c>
      <c r="G13" s="903">
        <f>SUM(G10:G12)-1</f>
        <v>6473285.96</v>
      </c>
    </row>
    <row r="14" spans="1:7" ht="15" customHeight="1" thickTop="1">
      <c r="A14" s="898"/>
      <c r="B14" s="862"/>
      <c r="C14" s="862"/>
      <c r="D14" s="862"/>
      <c r="E14" s="859"/>
      <c r="F14" s="859"/>
      <c r="G14" s="859"/>
    </row>
    <row r="15" spans="1:7" ht="15" customHeight="1">
      <c r="A15" s="898" t="s">
        <v>484</v>
      </c>
      <c r="B15" s="862"/>
      <c r="C15" s="862"/>
      <c r="D15" s="862"/>
      <c r="E15" s="859"/>
      <c r="F15" s="859"/>
      <c r="G15" s="859"/>
    </row>
    <row r="16" spans="1:7" ht="15" customHeight="1">
      <c r="A16" s="899" t="s">
        <v>388</v>
      </c>
      <c r="B16" s="859">
        <f>'[11]Unpaid Loss Expense Reserves-14'!B10</f>
        <v>716405</v>
      </c>
      <c r="C16" s="859">
        <f>'[11]Unpaid Loss Expense Reserves-14'!C10</f>
        <v>2849364.1</v>
      </c>
      <c r="D16" s="859">
        <f>'[11]Unpaid Loss Expense Reserves-14'!D10</f>
        <v>75980</v>
      </c>
      <c r="E16" s="859">
        <f>'[11]Unpaid Loss Expense Reserves-14'!E10</f>
        <v>40000.65</v>
      </c>
      <c r="F16" s="859">
        <f>'[11]Unpaid Loss Expense Reserves-14'!F10</f>
        <v>0</v>
      </c>
      <c r="G16" s="859">
        <f>SUM(B16:F16)</f>
        <v>3681749.75</v>
      </c>
    </row>
    <row r="17" spans="1:7" ht="15" customHeight="1">
      <c r="A17" s="899" t="s">
        <v>389</v>
      </c>
      <c r="B17" s="859">
        <f>'[11]Unpaid Loss Expense Reserves-14'!B11</f>
        <v>77125.79</v>
      </c>
      <c r="C17" s="859">
        <f>'[11]Unpaid Loss Expense Reserves-14'!C11</f>
        <v>135523.01</v>
      </c>
      <c r="D17" s="859">
        <f>'[11]Unpaid Loss Expense Reserves-14'!D11</f>
        <v>8005</v>
      </c>
      <c r="E17" s="859">
        <f>'[11]Unpaid Loss Expense Reserves-14'!E11</f>
        <v>0</v>
      </c>
      <c r="F17" s="859">
        <f>'[11]Unpaid Loss Expense Reserves-14'!F11</f>
        <v>3300</v>
      </c>
      <c r="G17" s="859">
        <f>SUM(B17:F17)</f>
        <v>223953.8</v>
      </c>
    </row>
    <row r="18" spans="1:7" ht="15" customHeight="1">
      <c r="A18" s="899" t="s">
        <v>390</v>
      </c>
      <c r="B18" s="859">
        <f>'[11]Unpaid Loss Expense Reserves-14'!B12</f>
        <v>0</v>
      </c>
      <c r="C18" s="859">
        <f>'[11]Unpaid Loss Expense Reserves-14'!C12</f>
        <v>2800</v>
      </c>
      <c r="D18" s="859">
        <f>'[11]Unpaid Loss Expense Reserves-14'!D12</f>
        <v>0</v>
      </c>
      <c r="E18" s="859">
        <f>'[11]Unpaid Loss Expense Reserves-14'!E12</f>
        <v>0</v>
      </c>
      <c r="F18" s="859">
        <f>'[11]Unpaid Loss Expense Reserves-14'!F12</f>
        <v>0</v>
      </c>
      <c r="G18" s="859">
        <f>SUM(B18:F18)</f>
        <v>2800</v>
      </c>
    </row>
    <row r="19" spans="1:7" ht="15" customHeight="1" thickBot="1">
      <c r="A19" s="900" t="s">
        <v>376</v>
      </c>
      <c r="B19" s="832">
        <f aca="true" t="shared" si="0" ref="B19:G19">SUM(B16:B18)</f>
        <v>793530.79</v>
      </c>
      <c r="C19" s="832">
        <f t="shared" si="0"/>
        <v>2987687.1100000003</v>
      </c>
      <c r="D19" s="832">
        <f t="shared" si="0"/>
        <v>83985</v>
      </c>
      <c r="E19" s="860">
        <f t="shared" si="0"/>
        <v>40000.65</v>
      </c>
      <c r="F19" s="860">
        <f t="shared" si="0"/>
        <v>3300</v>
      </c>
      <c r="G19" s="861">
        <f t="shared" si="0"/>
        <v>3908503.55</v>
      </c>
    </row>
    <row r="20" spans="1:7" ht="15" customHeight="1" thickTop="1">
      <c r="A20" s="898"/>
      <c r="B20" s="829"/>
      <c r="C20" s="829"/>
      <c r="D20" s="829"/>
      <c r="E20" s="863"/>
      <c r="F20" s="863"/>
      <c r="G20" s="863"/>
    </row>
    <row r="21" spans="1:7" ht="15" customHeight="1">
      <c r="A21" s="898" t="s">
        <v>485</v>
      </c>
      <c r="B21" s="864"/>
      <c r="C21" s="864"/>
      <c r="D21" s="864"/>
      <c r="E21" s="864"/>
      <c r="F21" s="864"/>
      <c r="G21" s="864"/>
    </row>
    <row r="22" spans="1:7" ht="15" customHeight="1">
      <c r="A22" s="899" t="s">
        <v>388</v>
      </c>
      <c r="B22" s="859">
        <f>'[11]Unpaid Loss Reserves-13'!B36</f>
        <v>650209.59</v>
      </c>
      <c r="C22" s="859">
        <f>'[11]Unpaid Loss Reserves-13'!B30</f>
        <v>203482.88</v>
      </c>
      <c r="D22" s="859">
        <f>'[11]Unpaid Loss Reserves-13'!B23</f>
        <v>121093.94</v>
      </c>
      <c r="E22" s="859">
        <f>'[11]Unpaid Loss Reserves-13'!B16</f>
        <v>45738</v>
      </c>
      <c r="F22" s="859">
        <f>'[11]Unpaid Loss Reserves-13'!B9</f>
        <v>0</v>
      </c>
      <c r="G22" s="859">
        <f>SUM(B22:F22)+1</f>
        <v>1020525.4099999999</v>
      </c>
    </row>
    <row r="23" spans="1:7" ht="15" customHeight="1">
      <c r="A23" s="899" t="s">
        <v>389</v>
      </c>
      <c r="B23" s="859">
        <f>'[11]Unpaid Loss Reserves-13'!B37</f>
        <v>69999.41</v>
      </c>
      <c r="C23" s="859">
        <f>'[11]Unpaid Loss Reserves-13'!B31</f>
        <v>9678.16</v>
      </c>
      <c r="D23" s="859">
        <f>'[11]Unpaid Loss Reserves-13'!B24</f>
        <v>12758.06</v>
      </c>
      <c r="E23" s="859">
        <f>'[11]Unpaid Loss Reserves-13'!B17</f>
        <v>0</v>
      </c>
      <c r="F23" s="859">
        <f>'[11]Unpaid Loss Reserves-13'!B10</f>
        <v>4459</v>
      </c>
      <c r="G23" s="859">
        <f>SUM(B23:F23)-1</f>
        <v>96893.63</v>
      </c>
    </row>
    <row r="24" spans="1:7" ht="15" customHeight="1">
      <c r="A24" s="899" t="s">
        <v>390</v>
      </c>
      <c r="B24" s="859">
        <f>'[11]Unpaid Loss Reserves-13'!B38</f>
        <v>0</v>
      </c>
      <c r="C24" s="859">
        <f>'[11]Unpaid Loss Reserves-13'!B32</f>
        <v>199.96</v>
      </c>
      <c r="D24" s="859">
        <f>'[11]Unpaid Loss Reserves-13'!B25</f>
        <v>0</v>
      </c>
      <c r="E24" s="859">
        <f>'[11]Unpaid Loss Reserves-13'!B18</f>
        <v>0</v>
      </c>
      <c r="F24" s="859">
        <f>'[11]Unpaid Loss Reserves-13'!B11</f>
        <v>0</v>
      </c>
      <c r="G24" s="859">
        <f>SUM(B24:F24)</f>
        <v>199.96</v>
      </c>
    </row>
    <row r="25" spans="1:7" ht="15" customHeight="1" thickBot="1">
      <c r="A25" s="900" t="s">
        <v>376</v>
      </c>
      <c r="B25" s="832">
        <f aca="true" t="shared" si="1" ref="B25:G25">SUM(B22:B24)</f>
        <v>720209</v>
      </c>
      <c r="C25" s="832">
        <f t="shared" si="1"/>
        <v>213361</v>
      </c>
      <c r="D25" s="832">
        <f t="shared" si="1"/>
        <v>133852</v>
      </c>
      <c r="E25" s="860">
        <f t="shared" si="1"/>
        <v>45738</v>
      </c>
      <c r="F25" s="860">
        <f t="shared" si="1"/>
        <v>4459</v>
      </c>
      <c r="G25" s="861">
        <f t="shared" si="1"/>
        <v>1117619</v>
      </c>
    </row>
    <row r="26" spans="1:7" ht="15" customHeight="1" thickTop="1">
      <c r="A26" s="898"/>
      <c r="B26" s="862"/>
      <c r="C26" s="862"/>
      <c r="D26" s="862"/>
      <c r="E26" s="859"/>
      <c r="F26" s="859"/>
      <c r="G26" s="859"/>
    </row>
    <row r="27" spans="1:7" ht="15" customHeight="1">
      <c r="A27" s="898" t="s">
        <v>486</v>
      </c>
      <c r="B27" s="865"/>
      <c r="C27" s="865"/>
      <c r="D27" s="865"/>
      <c r="E27" s="859"/>
      <c r="F27" s="859"/>
      <c r="G27" s="859"/>
    </row>
    <row r="28" spans="1:7" ht="15" customHeight="1">
      <c r="A28" s="898" t="s">
        <v>489</v>
      </c>
      <c r="B28" s="865"/>
      <c r="C28" s="865"/>
      <c r="D28" s="865"/>
      <c r="E28" s="859"/>
      <c r="F28" s="859"/>
      <c r="G28" s="859"/>
    </row>
    <row r="29" spans="1:7" ht="15" customHeight="1">
      <c r="A29" s="899" t="s">
        <v>388</v>
      </c>
      <c r="B29" s="862">
        <f>'[14]Losses Incurred QTD-6'!B29</f>
        <v>0</v>
      </c>
      <c r="C29" s="862">
        <f>'[14]Losses Incurred QTD-6'!C29</f>
        <v>3321077.15</v>
      </c>
      <c r="D29" s="862">
        <f>'[14]Losses Incurred QTD-6'!D29</f>
        <v>1177544.89</v>
      </c>
      <c r="E29" s="862">
        <f>'[14]Losses Incurred QTD-6'!E29</f>
        <v>82070.53</v>
      </c>
      <c r="F29" s="862">
        <f>'[14]Losses Incurred QTD-6'!F29</f>
        <v>174352.79</v>
      </c>
      <c r="G29" s="859">
        <f>SUM(B29:F29)+1</f>
        <v>4755046.36</v>
      </c>
    </row>
    <row r="30" spans="1:7" ht="15" customHeight="1">
      <c r="A30" s="899" t="s">
        <v>389</v>
      </c>
      <c r="B30" s="862">
        <f>'[14]Losses Incurred QTD-6'!B30</f>
        <v>0</v>
      </c>
      <c r="C30" s="862">
        <f>'[14]Losses Incurred QTD-6'!C30</f>
        <v>405782.58</v>
      </c>
      <c r="D30" s="862">
        <f>'[14]Losses Incurred QTD-6'!D30</f>
        <v>104120.08</v>
      </c>
      <c r="E30" s="862">
        <f>'[14]Losses Incurred QTD-6'!E30</f>
        <v>50764.4</v>
      </c>
      <c r="F30" s="862">
        <f>'[14]Losses Incurred QTD-6'!F30</f>
        <v>2331.54</v>
      </c>
      <c r="G30" s="859">
        <f>SUM(B30:F30)</f>
        <v>562998.6000000001</v>
      </c>
    </row>
    <row r="31" spans="1:7" ht="15" customHeight="1">
      <c r="A31" s="899" t="s">
        <v>390</v>
      </c>
      <c r="B31" s="862">
        <f>'[14]Losses Incurred QTD-6'!B31</f>
        <v>0</v>
      </c>
      <c r="C31" s="862">
        <f>'[14]Losses Incurred QTD-6'!C31</f>
        <v>0</v>
      </c>
      <c r="D31" s="862">
        <f>'[14]Losses Incurred QTD-6'!D31</f>
        <v>0</v>
      </c>
      <c r="E31" s="862">
        <f>'[14]Losses Incurred QTD-6'!E31</f>
        <v>0</v>
      </c>
      <c r="F31" s="862">
        <f>'[14]Losses Incurred QTD-6'!F31</f>
        <v>0</v>
      </c>
      <c r="G31" s="859">
        <f>SUM(B31:F31)</f>
        <v>0</v>
      </c>
    </row>
    <row r="32" spans="1:7" ht="15" customHeight="1" thickBot="1">
      <c r="A32" s="900" t="s">
        <v>376</v>
      </c>
      <c r="B32" s="832">
        <f aca="true" t="shared" si="2" ref="B32:G32">SUM(B29:B31)</f>
        <v>0</v>
      </c>
      <c r="C32" s="832">
        <f t="shared" si="2"/>
        <v>3726859.73</v>
      </c>
      <c r="D32" s="832">
        <f t="shared" si="2"/>
        <v>1281664.97</v>
      </c>
      <c r="E32" s="860">
        <f t="shared" si="2"/>
        <v>132834.93</v>
      </c>
      <c r="F32" s="860">
        <f>SUM(F29:F31)+1</f>
        <v>176685.33000000002</v>
      </c>
      <c r="G32" s="861">
        <f t="shared" si="2"/>
        <v>5318044.960000001</v>
      </c>
    </row>
    <row r="33" spans="1:7" s="866" customFormat="1" ht="15" customHeight="1" thickTop="1">
      <c r="A33" s="898"/>
      <c r="B33" s="865"/>
      <c r="C33" s="865"/>
      <c r="D33" s="865"/>
      <c r="E33" s="865"/>
      <c r="F33" s="865"/>
      <c r="G33" s="865"/>
    </row>
    <row r="34" spans="1:7" ht="15" customHeight="1">
      <c r="A34" s="898" t="s">
        <v>391</v>
      </c>
      <c r="B34" s="862"/>
      <c r="C34" s="862"/>
      <c r="D34" s="862"/>
      <c r="E34" s="859"/>
      <c r="F34" s="859"/>
      <c r="G34" s="859"/>
    </row>
    <row r="35" spans="1:7" ht="15" customHeight="1">
      <c r="A35" s="899" t="s">
        <v>388</v>
      </c>
      <c r="B35" s="859">
        <f aca="true" t="shared" si="3" ref="B35:F37">B10+(B16+B22-B29)</f>
        <v>1489424.65</v>
      </c>
      <c r="C35" s="859">
        <f>C10+(C16+C22-C29)</f>
        <v>4406833.83</v>
      </c>
      <c r="D35" s="859">
        <f t="shared" si="3"/>
        <v>-20283.04999999993</v>
      </c>
      <c r="E35" s="859">
        <f t="shared" si="3"/>
        <v>17286.079999999994</v>
      </c>
      <c r="F35" s="859">
        <f>F10+(F16+F22-F29)-1</f>
        <v>-102338.37000000001</v>
      </c>
      <c r="G35" s="859">
        <f>SUM(B35:F35)+1</f>
        <v>5790924.140000001</v>
      </c>
    </row>
    <row r="36" spans="1:7" ht="15" customHeight="1">
      <c r="A36" s="899" t="s">
        <v>389</v>
      </c>
      <c r="B36" s="859">
        <f>B11+(B17+B23-B30)+1</f>
        <v>183764.76</v>
      </c>
      <c r="C36" s="859">
        <f>C11+(C17+C23-C30)-1</f>
        <v>256620.49999999997</v>
      </c>
      <c r="D36" s="859">
        <f>D11+(D17+D23-D30)</f>
        <v>-28048.310000000005</v>
      </c>
      <c r="E36" s="859">
        <f>E11+(E17+E23-E30)</f>
        <v>-35782.26</v>
      </c>
      <c r="F36" s="859">
        <f t="shared" si="3"/>
        <v>6427.46</v>
      </c>
      <c r="G36" s="859">
        <f>SUM(B36:F36)</f>
        <v>382982.15</v>
      </c>
    </row>
    <row r="37" spans="1:7" ht="15" customHeight="1">
      <c r="A37" s="899" t="s">
        <v>390</v>
      </c>
      <c r="B37" s="859">
        <f t="shared" si="3"/>
        <v>0</v>
      </c>
      <c r="C37" s="859">
        <f t="shared" si="3"/>
        <v>7458.26</v>
      </c>
      <c r="D37" s="859">
        <f t="shared" si="3"/>
        <v>0</v>
      </c>
      <c r="E37" s="859">
        <f t="shared" si="3"/>
        <v>0</v>
      </c>
      <c r="F37" s="859">
        <f t="shared" si="3"/>
        <v>0</v>
      </c>
      <c r="G37" s="859">
        <f>SUM(B37:F37)</f>
        <v>7458.26</v>
      </c>
    </row>
    <row r="38" spans="1:7" ht="15" customHeight="1" thickBot="1">
      <c r="A38" s="900" t="s">
        <v>376</v>
      </c>
      <c r="B38" s="867">
        <f>SUM(B35:B37)+1</f>
        <v>1673190.41</v>
      </c>
      <c r="C38" s="867">
        <f>SUM(C35:C37)</f>
        <v>4670912.59</v>
      </c>
      <c r="D38" s="867">
        <f>SUM(D35:D37)</f>
        <v>-48331.359999999935</v>
      </c>
      <c r="E38" s="867">
        <f>SUM(E35:E37)</f>
        <v>-18496.180000000008</v>
      </c>
      <c r="F38" s="867">
        <f>SUM(F35:F37)</f>
        <v>-95910.91</v>
      </c>
      <c r="G38" s="867">
        <f>SUM(G35:G37)-1</f>
        <v>6181363.550000001</v>
      </c>
    </row>
    <row r="39" spans="2:7" ht="15" customHeight="1" thickTop="1">
      <c r="B39" s="864"/>
      <c r="C39" s="864"/>
      <c r="D39" s="864"/>
      <c r="G39" s="868"/>
    </row>
    <row r="40" spans="1:7" s="784" customFormat="1" ht="15" customHeight="1">
      <c r="A40" s="902"/>
      <c r="B40" s="785"/>
      <c r="C40" s="785"/>
      <c r="D40" s="785"/>
      <c r="E40" s="786"/>
      <c r="F40" s="786"/>
      <c r="G40" s="786"/>
    </row>
    <row r="41" spans="2:4" ht="15" customHeight="1">
      <c r="B41" s="857"/>
      <c r="C41" s="857"/>
      <c r="D41" s="857"/>
    </row>
    <row r="42" spans="2:4" ht="15" customHeight="1">
      <c r="B42" s="857"/>
      <c r="C42" s="857"/>
      <c r="D42" s="857"/>
    </row>
    <row r="43" spans="2:4" ht="15" customHeight="1">
      <c r="B43" s="857"/>
      <c r="C43" s="857"/>
      <c r="D43" s="857"/>
    </row>
    <row r="44" spans="1:4" ht="15" customHeight="1">
      <c r="A44" s="897"/>
      <c r="B44" s="857"/>
      <c r="C44" s="857"/>
      <c r="D44" s="857"/>
    </row>
    <row r="45" spans="1:4" ht="15" customHeight="1">
      <c r="A45" s="897"/>
      <c r="B45" s="857"/>
      <c r="C45" s="857"/>
      <c r="D45" s="857"/>
    </row>
    <row r="46" spans="1:4" ht="15" customHeight="1">
      <c r="A46" s="897"/>
      <c r="B46" s="857"/>
      <c r="C46" s="857"/>
      <c r="D46" s="857"/>
    </row>
    <row r="47" spans="1:4" ht="15" customHeight="1">
      <c r="A47" s="897"/>
      <c r="B47" s="857"/>
      <c r="C47" s="857"/>
      <c r="D47" s="857"/>
    </row>
    <row r="48" spans="1:4" ht="15" customHeight="1">
      <c r="A48" s="897"/>
      <c r="B48" s="857"/>
      <c r="C48" s="857"/>
      <c r="D48" s="857"/>
    </row>
    <row r="49" spans="1:4" ht="15" customHeight="1">
      <c r="A49" s="897"/>
      <c r="B49" s="857"/>
      <c r="C49" s="857"/>
      <c r="D49" s="857"/>
    </row>
    <row r="50" spans="1:4" ht="15" customHeight="1">
      <c r="A50" s="897"/>
      <c r="B50" s="857"/>
      <c r="C50" s="857"/>
      <c r="D50" s="857"/>
    </row>
    <row r="51" spans="1:4" ht="15" customHeight="1">
      <c r="A51" s="897"/>
      <c r="B51" s="857"/>
      <c r="C51" s="857"/>
      <c r="D51" s="857"/>
    </row>
    <row r="52" spans="1:4" ht="15" customHeight="1">
      <c r="A52" s="897"/>
      <c r="B52" s="857"/>
      <c r="C52" s="857"/>
      <c r="D52" s="857"/>
    </row>
    <row r="53" spans="1:4" ht="15" customHeight="1">
      <c r="A53" s="897"/>
      <c r="B53" s="857"/>
      <c r="C53" s="857"/>
      <c r="D53" s="857"/>
    </row>
    <row r="54" spans="1:4" ht="15" customHeight="1">
      <c r="A54" s="897"/>
      <c r="B54" s="857"/>
      <c r="C54" s="857"/>
      <c r="D54" s="857"/>
    </row>
    <row r="55" spans="1:4" ht="15" customHeight="1">
      <c r="A55" s="897"/>
      <c r="B55" s="857"/>
      <c r="C55" s="857"/>
      <c r="D55" s="857"/>
    </row>
    <row r="56" ht="15" customHeight="1">
      <c r="A56" s="897"/>
    </row>
    <row r="57" ht="15" customHeight="1">
      <c r="A57" s="897"/>
    </row>
    <row r="58" ht="15" customHeight="1">
      <c r="A58" s="897"/>
    </row>
    <row r="59" ht="15" customHeight="1">
      <c r="A59" s="897"/>
    </row>
    <row r="60" ht="15" customHeight="1">
      <c r="A60" s="897"/>
    </row>
    <row r="61" ht="15" customHeight="1">
      <c r="A61" s="897"/>
    </row>
    <row r="62" ht="15" customHeight="1">
      <c r="A62" s="897"/>
    </row>
    <row r="63" ht="15" customHeight="1">
      <c r="A63" s="897"/>
    </row>
    <row r="64" ht="15" customHeight="1">
      <c r="A64" s="897"/>
    </row>
    <row r="65" ht="15" customHeight="1">
      <c r="A65" s="897"/>
    </row>
    <row r="66" ht="15" customHeight="1">
      <c r="A66" s="897"/>
    </row>
    <row r="67" ht="15" customHeight="1">
      <c r="A67" s="897"/>
    </row>
    <row r="68" ht="15" customHeight="1">
      <c r="A68" s="897"/>
    </row>
    <row r="69" ht="15" customHeight="1">
      <c r="A69" s="897"/>
    </row>
    <row r="70" ht="15" customHeight="1">
      <c r="A70" s="897"/>
    </row>
    <row r="71" ht="15" customHeight="1">
      <c r="A71" s="897"/>
    </row>
    <row r="72" ht="15" customHeight="1">
      <c r="A72" s="897"/>
    </row>
    <row r="73" ht="15" customHeight="1">
      <c r="A73" s="897"/>
    </row>
    <row r="74" ht="15" customHeight="1">
      <c r="A74" s="897"/>
    </row>
    <row r="75" ht="15" customHeight="1">
      <c r="A75" s="897"/>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248</v>
      </c>
      <c r="B1" s="307"/>
      <c r="C1" s="307"/>
      <c r="D1" s="307"/>
      <c r="E1" s="335"/>
      <c r="F1" s="335"/>
      <c r="G1" s="336"/>
      <c r="H1" s="260"/>
    </row>
    <row r="2" spans="1:7" ht="15" customHeight="1">
      <c r="A2" s="773"/>
      <c r="B2" s="326"/>
      <c r="C2" s="326"/>
      <c r="D2" s="326"/>
      <c r="E2" s="326"/>
      <c r="F2" s="326"/>
      <c r="G2" s="337"/>
    </row>
    <row r="3" spans="1:8" s="45" customFormat="1" ht="15" customHeight="1">
      <c r="A3" s="634" t="s">
        <v>393</v>
      </c>
      <c r="B3" s="869"/>
      <c r="C3" s="869"/>
      <c r="D3" s="869"/>
      <c r="E3" s="870"/>
      <c r="F3" s="870"/>
      <c r="G3" s="871"/>
      <c r="H3" s="770"/>
    </row>
    <row r="4" spans="1:8" s="45" customFormat="1" ht="15" customHeight="1">
      <c r="A4" s="634" t="s">
        <v>394</v>
      </c>
      <c r="B4" s="869"/>
      <c r="C4" s="869"/>
      <c r="D4" s="869"/>
      <c r="E4" s="870"/>
      <c r="F4" s="870"/>
      <c r="G4" s="871"/>
      <c r="H4" s="770"/>
    </row>
    <row r="5" spans="1:8" s="45" customFormat="1" ht="15" customHeight="1">
      <c r="A5" s="378" t="s">
        <v>481</v>
      </c>
      <c r="B5" s="869"/>
      <c r="C5" s="869"/>
      <c r="D5" s="869"/>
      <c r="E5" s="870"/>
      <c r="F5" s="870"/>
      <c r="G5" s="871"/>
      <c r="H5" s="770"/>
    </row>
    <row r="6" spans="1:7" ht="15" customHeight="1">
      <c r="A6" s="17"/>
      <c r="E6" s="337"/>
      <c r="F6" s="337"/>
      <c r="G6" s="337"/>
    </row>
    <row r="7" spans="1:7" ht="30" customHeight="1">
      <c r="A7" s="47"/>
      <c r="B7" s="881" t="s">
        <v>476</v>
      </c>
      <c r="C7" s="881" t="s">
        <v>466</v>
      </c>
      <c r="D7" s="881" t="s">
        <v>190</v>
      </c>
      <c r="E7" s="882" t="s">
        <v>39</v>
      </c>
      <c r="F7" s="882" t="s">
        <v>477</v>
      </c>
      <c r="G7" s="883" t="s">
        <v>249</v>
      </c>
    </row>
    <row r="8" spans="1:7" ht="30" customHeight="1">
      <c r="A8" s="872" t="s">
        <v>464</v>
      </c>
      <c r="B8" s="311"/>
      <c r="C8" s="311"/>
      <c r="D8" s="311"/>
      <c r="G8" s="873"/>
    </row>
    <row r="9" spans="1:38" ht="15" customHeight="1">
      <c r="A9" s="18" t="s">
        <v>373</v>
      </c>
      <c r="B9" s="874">
        <f>'[11]Loss Expenses Paid QTD-15'!K34</f>
        <v>10656.78</v>
      </c>
      <c r="C9" s="874">
        <f>'[11]Loss Expenses Paid QTD-15'!K28</f>
        <v>214707.43</v>
      </c>
      <c r="D9" s="874">
        <f>'[11]Loss Expenses Paid QTD-15'!K22</f>
        <v>34083.95</v>
      </c>
      <c r="E9" s="874">
        <f>'[11]Loss Expenses Paid QTD-15'!K16</f>
        <v>3040.26</v>
      </c>
      <c r="F9" s="874">
        <f>'[11]Loss Expenses Paid QTD-15'!K10</f>
        <v>4434.65</v>
      </c>
      <c r="G9" s="874">
        <f>SUM(B9:F9)</f>
        <v>266923.07</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374</v>
      </c>
      <c r="B10" s="122">
        <f>'[11]Loss Expenses Paid QTD-15'!K35</f>
        <v>10494.59</v>
      </c>
      <c r="C10" s="122">
        <f>'[11]Loss Expenses Paid QTD-15'!K29</f>
        <v>69004.1</v>
      </c>
      <c r="D10" s="122">
        <f>'[11]Loss Expenses Paid QTD-15'!K23</f>
        <v>4448.8</v>
      </c>
      <c r="E10" s="122">
        <f>'[11]Loss Expenses Paid QTD-15'!K17</f>
        <v>1530</v>
      </c>
      <c r="F10" s="122">
        <f>'[11]Loss Expenses Paid QTD-15'!K11</f>
        <v>19.94</v>
      </c>
      <c r="G10" s="122">
        <f>SUM(B10:F10)+1</f>
        <v>85498.43000000001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375</v>
      </c>
      <c r="B11" s="122">
        <f>'[11]Loss Expenses Paid QTD-15'!K36</f>
        <v>0</v>
      </c>
      <c r="C11" s="122">
        <f>'[11]Loss Expenses Paid QTD-15'!K30</f>
        <v>714.9</v>
      </c>
      <c r="D11" s="122">
        <f>'[11]Loss Expenses Paid QTD-15'!K24</f>
        <v>0</v>
      </c>
      <c r="E11" s="122">
        <f>'[11]Loss Expenses Paid QTD-15'!K18</f>
        <v>0</v>
      </c>
      <c r="F11" s="122">
        <f>'[11]Loss Expenses Paid QTD-15'!K12</f>
        <v>0</v>
      </c>
      <c r="G11" s="122">
        <f>SUM(B11:F11)</f>
        <v>714.9</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5" t="s">
        <v>376</v>
      </c>
      <c r="B12" s="332">
        <f>SUM(B9:B11)+1</f>
        <v>21152.370000000003</v>
      </c>
      <c r="C12" s="332">
        <f>SUM(C9:C11)</f>
        <v>284426.43000000005</v>
      </c>
      <c r="D12" s="332">
        <f>SUM(D9:D11)</f>
        <v>38532.75</v>
      </c>
      <c r="E12" s="332">
        <f>SUM(E9:E11)</f>
        <v>4570.26</v>
      </c>
      <c r="F12" s="332">
        <f>SUM(F9:F11)</f>
        <v>4454.589999999999</v>
      </c>
      <c r="G12" s="129">
        <f>SUM(G9:G11)</f>
        <v>353136.4</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6" t="s">
        <v>482</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373</v>
      </c>
      <c r="B15" s="126">
        <f>'Loss Expenses YTD-12'!B15</f>
        <v>136067.62</v>
      </c>
      <c r="C15" s="126">
        <f>'Loss Expenses YTD-12'!C15</f>
        <v>337293.78</v>
      </c>
      <c r="D15" s="126">
        <f>'Loss Expenses YTD-12'!D15</f>
        <v>61040.46</v>
      </c>
      <c r="E15" s="122">
        <f>'Loss Expenses YTD-12'!E15</f>
        <v>35616.4</v>
      </c>
      <c r="F15" s="122">
        <f>'Loss Expenses YTD-12'!F15</f>
        <v>0</v>
      </c>
      <c r="G15" s="122">
        <f>SUM(B15:F15)</f>
        <v>570018.26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374</v>
      </c>
      <c r="B16" s="126">
        <f>'Loss Expenses YTD-12'!B16</f>
        <v>14648.58</v>
      </c>
      <c r="C16" s="126">
        <f>'Loss Expenses YTD-12'!C16</f>
        <v>16042.55</v>
      </c>
      <c r="D16" s="126">
        <f>'Loss Expenses YTD-12'!D16</f>
        <v>6431.0199999999995</v>
      </c>
      <c r="E16" s="122">
        <f>'Loss Expenses YTD-12'!E16</f>
        <v>0</v>
      </c>
      <c r="F16" s="122">
        <f>'Loss Expenses YTD-12'!F16</f>
        <v>3944.75</v>
      </c>
      <c r="G16" s="122">
        <f>SUM(B16:F16)+1</f>
        <v>41067.899999999994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375</v>
      </c>
      <c r="B17" s="126">
        <f>'Loss Expenses YTD-12'!B17</f>
        <v>0</v>
      </c>
      <c r="C17" s="126">
        <f>'Loss Expenses YTD-12'!C17</f>
        <v>331.45</v>
      </c>
      <c r="D17" s="877">
        <f>'Loss Expenses YTD-12'!D17</f>
        <v>0</v>
      </c>
      <c r="E17" s="122">
        <f>'Loss Expenses YTD-12'!E17</f>
        <v>0</v>
      </c>
      <c r="F17" s="122">
        <f>'Loss Expenses YTD-12'!F17</f>
        <v>0</v>
      </c>
      <c r="G17" s="122">
        <f>SUM(B17:F17)</f>
        <v>331.45</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5" t="s">
        <v>376</v>
      </c>
      <c r="B18" s="138">
        <f>SUM(B15:B17)+1</f>
        <v>150717.19999999998</v>
      </c>
      <c r="C18" s="138">
        <f>SUM(C15:C17)</f>
        <v>353667.78</v>
      </c>
      <c r="D18" s="138">
        <f>SUM(D15:D17)</f>
        <v>67471.48</v>
      </c>
      <c r="E18" s="332">
        <f>SUM(E15:E17)</f>
        <v>35616.4</v>
      </c>
      <c r="F18" s="332">
        <f>SUM(F15:F17)</f>
        <v>3944.75</v>
      </c>
      <c r="G18" s="129">
        <f>SUM(G15:G17)-1</f>
        <v>611416.61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8"/>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6" t="s">
        <v>483</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373</v>
      </c>
      <c r="B21" s="126">
        <f>'[14]Loss Expenses QTD-7'!B16</f>
        <v>49572.77</v>
      </c>
      <c r="C21" s="126">
        <f>'[14]Loss Expenses QTD-7'!C16</f>
        <v>376231.54</v>
      </c>
      <c r="D21" s="126">
        <f>'[14]Loss Expenses QTD-7'!D16</f>
        <v>88211.05</v>
      </c>
      <c r="E21" s="122">
        <f>'[14]Loss Expenses QTD-7'!E16</f>
        <v>41530.74</v>
      </c>
      <c r="F21" s="122">
        <f>'[14]Loss Expenses QTD-7'!F16</f>
        <v>0</v>
      </c>
      <c r="G21" s="122">
        <f>SUM(B21:F21)+1</f>
        <v>555547.1</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396</v>
      </c>
      <c r="B22" s="126">
        <f>'[14]Loss Expenses QTD-7'!B17</f>
        <v>8261.47</v>
      </c>
      <c r="C22" s="126">
        <f>'[14]Loss Expenses QTD-7'!C17</f>
        <v>31321.98</v>
      </c>
      <c r="D22" s="126">
        <f>'[14]Loss Expenses QTD-7'!D17</f>
        <v>7134.27</v>
      </c>
      <c r="E22" s="122">
        <f>'[14]Loss Expenses QTD-7'!E17</f>
        <v>0</v>
      </c>
      <c r="F22" s="122">
        <f>'[14]Loss Expenses QTD-7'!F17</f>
        <v>0</v>
      </c>
      <c r="G22" s="122">
        <f>SUM(B22:F22)-1</f>
        <v>46716.72</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375</v>
      </c>
      <c r="B23" s="126">
        <f>'[14]Loss Expenses QTD-7'!B18</f>
        <v>0</v>
      </c>
      <c r="C23" s="126">
        <f>'[14]Loss Expenses QTD-7'!C18</f>
        <v>283.48</v>
      </c>
      <c r="D23" s="126">
        <f>'[14]Loss Expenses QTD-7'!D18</f>
        <v>0</v>
      </c>
      <c r="E23" s="122">
        <f>'[14]Loss Expenses QTD-7'!E18</f>
        <v>0</v>
      </c>
      <c r="F23" s="122">
        <f>'[14]Loss Expenses QTD-7'!F18</f>
        <v>0</v>
      </c>
      <c r="G23" s="122">
        <f>SUM(B23:F23)</f>
        <v>283.48</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5" t="s">
        <v>376</v>
      </c>
      <c r="B24" s="138">
        <f aca="true" t="shared" si="0" ref="B24:G24">SUM(B21:B23)</f>
        <v>57834.24</v>
      </c>
      <c r="C24" s="138">
        <f t="shared" si="0"/>
        <v>407836.99999999994</v>
      </c>
      <c r="D24" s="138">
        <f t="shared" si="0"/>
        <v>95345.32</v>
      </c>
      <c r="E24" s="332">
        <f t="shared" si="0"/>
        <v>41530.74</v>
      </c>
      <c r="F24" s="332">
        <f t="shared" si="0"/>
        <v>0</v>
      </c>
      <c r="G24" s="129">
        <f t="shared" si="0"/>
        <v>602547.2999999999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row>
    <row r="26" spans="1:38" s="23" customFormat="1" ht="30" customHeight="1">
      <c r="A26" s="876" t="s">
        <v>433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373</v>
      </c>
      <c r="B27" s="122">
        <f aca="true" t="shared" si="1" ref="B27:F29">B9+B15-B21</f>
        <v>97151.63</v>
      </c>
      <c r="C27" s="122">
        <f>C9+C15-C21-1</f>
        <v>175768.66999999998</v>
      </c>
      <c r="D27" s="122">
        <f t="shared" si="1"/>
        <v>6913.360000000001</v>
      </c>
      <c r="E27" s="122">
        <f>E9+E15-E21-1</f>
        <v>-2875.0799999999945</v>
      </c>
      <c r="F27" s="122">
        <f>F9+F15-F21</f>
        <v>4434.65</v>
      </c>
      <c r="G27" s="122">
        <f>SUM(B27:F27)+1</f>
        <v>281394.23</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374</v>
      </c>
      <c r="B28" s="122">
        <f>B10+B16-B22+1</f>
        <v>16882.699999999997</v>
      </c>
      <c r="C28" s="122">
        <f>C10+C16-C22</f>
        <v>53724.67000000001</v>
      </c>
      <c r="D28" s="122">
        <f>D10+D16-D22</f>
        <v>3745.5499999999993</v>
      </c>
      <c r="E28" s="122">
        <f t="shared" si="1"/>
        <v>1530</v>
      </c>
      <c r="F28" s="122">
        <f t="shared" si="1"/>
        <v>3964.69</v>
      </c>
      <c r="G28" s="122">
        <f>SUM(B28:F28)+1</f>
        <v>79848.61000000002</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375</v>
      </c>
      <c r="B29" s="122">
        <f t="shared" si="1"/>
        <v>0</v>
      </c>
      <c r="C29" s="122">
        <f t="shared" si="1"/>
        <v>762.8699999999999</v>
      </c>
      <c r="D29" s="122">
        <f t="shared" si="1"/>
        <v>0</v>
      </c>
      <c r="E29" s="122">
        <f t="shared" si="1"/>
        <v>0</v>
      </c>
      <c r="F29" s="122">
        <f t="shared" si="1"/>
        <v>0</v>
      </c>
      <c r="G29" s="122">
        <f>SUM(B29:F29)</f>
        <v>762.8699999999999</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376</v>
      </c>
      <c r="B30" s="343">
        <f>SUM(B27:B29)+1</f>
        <v>114035.33</v>
      </c>
      <c r="C30" s="343">
        <f>SUM(C27:C29)+1</f>
        <v>230257.21</v>
      </c>
      <c r="D30" s="343">
        <f>SUM(D27:D29)</f>
        <v>10658.91</v>
      </c>
      <c r="E30" s="343">
        <f>SUM(E27:E29)</f>
        <v>-1345.0799999999945</v>
      </c>
      <c r="F30" s="343">
        <f>SUM(F27:F29)+1</f>
        <v>8400.34</v>
      </c>
      <c r="G30" s="343">
        <f>SUM(G27:G29)</f>
        <v>362005.70999999996</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80"/>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248</v>
      </c>
      <c r="B1" s="307"/>
      <c r="C1" s="307"/>
      <c r="D1" s="307"/>
      <c r="E1" s="335"/>
      <c r="F1" s="335"/>
      <c r="G1" s="336"/>
      <c r="H1" s="260"/>
    </row>
    <row r="2" spans="1:7" ht="15" customHeight="1">
      <c r="A2" s="773"/>
      <c r="B2" s="326"/>
      <c r="C2" s="326"/>
      <c r="D2" s="326"/>
      <c r="E2" s="326"/>
      <c r="F2" s="326"/>
      <c r="G2" s="337"/>
    </row>
    <row r="3" spans="1:8" s="45" customFormat="1" ht="15" customHeight="1">
      <c r="A3" s="634" t="s">
        <v>393</v>
      </c>
      <c r="B3" s="869"/>
      <c r="C3" s="869"/>
      <c r="D3" s="869"/>
      <c r="E3" s="870"/>
      <c r="F3" s="870"/>
      <c r="G3" s="871"/>
      <c r="H3" s="770"/>
    </row>
    <row r="4" spans="1:8" s="45" customFormat="1" ht="15" customHeight="1">
      <c r="A4" s="634" t="s">
        <v>394</v>
      </c>
      <c r="B4" s="869"/>
      <c r="C4" s="869"/>
      <c r="D4" s="869"/>
      <c r="E4" s="870"/>
      <c r="F4" s="870"/>
      <c r="G4" s="871"/>
      <c r="H4" s="770"/>
    </row>
    <row r="5" spans="1:8" s="45" customFormat="1" ht="15" customHeight="1">
      <c r="A5" s="378" t="s">
        <v>478</v>
      </c>
      <c r="B5" s="869"/>
      <c r="C5" s="869"/>
      <c r="D5" s="869"/>
      <c r="E5" s="870"/>
      <c r="F5" s="870"/>
      <c r="G5" s="871"/>
      <c r="H5" s="770"/>
    </row>
    <row r="6" spans="1:7" ht="15" customHeight="1">
      <c r="A6" s="17"/>
      <c r="E6" s="337"/>
      <c r="F6" s="337"/>
      <c r="G6" s="337"/>
    </row>
    <row r="7" spans="1:7" ht="30" customHeight="1">
      <c r="A7" s="47"/>
      <c r="B7" s="881" t="s">
        <v>476</v>
      </c>
      <c r="C7" s="881" t="s">
        <v>466</v>
      </c>
      <c r="D7" s="881" t="s">
        <v>190</v>
      </c>
      <c r="E7" s="882" t="s">
        <v>39</v>
      </c>
      <c r="F7" s="882" t="s">
        <v>477</v>
      </c>
      <c r="G7" s="883" t="s">
        <v>249</v>
      </c>
    </row>
    <row r="8" spans="1:7" ht="30" customHeight="1">
      <c r="A8" s="872" t="s">
        <v>465</v>
      </c>
      <c r="B8" s="311"/>
      <c r="C8" s="311"/>
      <c r="D8" s="311"/>
      <c r="G8" s="873"/>
    </row>
    <row r="9" spans="1:38" ht="15" customHeight="1">
      <c r="A9" s="18" t="s">
        <v>373</v>
      </c>
      <c r="B9" s="874">
        <f>'[11]Loss Expenses Paid YTD-16'!K34</f>
        <v>12027.98</v>
      </c>
      <c r="C9" s="874">
        <f>'[11]Loss Expenses Paid YTD-16'!K28</f>
        <v>404402.62</v>
      </c>
      <c r="D9" s="874">
        <f>'[11]Loss Expenses Paid YTD-16'!K22</f>
        <v>93784.54999999999</v>
      </c>
      <c r="E9" s="874">
        <f>'[11]Loss Expenses Paid YTD-16'!K16</f>
        <v>3538.6800000000003</v>
      </c>
      <c r="F9" s="874">
        <f>'[11]Loss Expenses Paid YTD-16'!K10</f>
        <v>18568.550000000003</v>
      </c>
      <c r="G9" s="874">
        <f>SUM(B9:F9)+2</f>
        <v>532324.38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374</v>
      </c>
      <c r="B10" s="122">
        <f>'[11]Loss Expenses Paid YTD-16'!K35</f>
        <v>13859.92</v>
      </c>
      <c r="C10" s="122">
        <f>'[11]Loss Expenses Paid YTD-16'!K29</f>
        <v>166526.84</v>
      </c>
      <c r="D10" s="122">
        <f>'[11]Loss Expenses Paid YTD-16'!K23</f>
        <v>16680.36</v>
      </c>
      <c r="E10" s="122">
        <f>'[11]Loss Expenses Paid YTD-16'!K17</f>
        <v>5317.15</v>
      </c>
      <c r="F10" s="122">
        <f>'[11]Loss Expenses Paid YTD-16'!K11</f>
        <v>877.6</v>
      </c>
      <c r="G10" s="122">
        <f>SUM(B10:F10)</f>
        <v>203261.87</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375</v>
      </c>
      <c r="B11" s="122">
        <f>'[11]Loss Expenses Paid YTD-16'!K36</f>
        <v>0</v>
      </c>
      <c r="C11" s="122">
        <f>'[11]Loss Expenses Paid YTD-16'!K30</f>
        <v>1491.4</v>
      </c>
      <c r="D11" s="122">
        <f>'[11]Loss Expenses Paid YTD-16'!K24</f>
        <v>0</v>
      </c>
      <c r="E11" s="122">
        <f>'[11]Loss Expenses Paid YTD-16'!K18</f>
        <v>0</v>
      </c>
      <c r="F11" s="122">
        <f>'[11]Loss Expenses Paid YTD-16'!K12</f>
        <v>0</v>
      </c>
      <c r="G11" s="122">
        <f>SUM(B11:F11)</f>
        <v>1491.4</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5" t="s">
        <v>376</v>
      </c>
      <c r="B12" s="332">
        <f>SUM(B9:B11)</f>
        <v>25887.9</v>
      </c>
      <c r="C12" s="332">
        <f>SUM(C9:C11)</f>
        <v>572420.86</v>
      </c>
      <c r="D12" s="332">
        <f>SUM(D9:D11)</f>
        <v>110464.90999999999</v>
      </c>
      <c r="E12" s="332">
        <f>SUM(E9:E11)</f>
        <v>8855.83</v>
      </c>
      <c r="F12" s="332">
        <f>SUM(F9:F11)+1</f>
        <v>19447.15</v>
      </c>
      <c r="G12" s="129">
        <f>SUM(G9:G11)-1</f>
        <v>737076.65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6" t="s">
        <v>479</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373</v>
      </c>
      <c r="B15" s="126">
        <f>'[11]Unpaid Loss Expense Reserves-14'!B30</f>
        <v>136067.62</v>
      </c>
      <c r="C15" s="126">
        <f>'[11]Unpaid Loss Expense Reserves-14'!C30</f>
        <v>337293.78</v>
      </c>
      <c r="D15" s="126">
        <f>'[11]Unpaid Loss Expense Reserves-14'!D30</f>
        <v>61040.46</v>
      </c>
      <c r="E15" s="122">
        <f>'[11]Unpaid Loss Expense Reserves-14'!E30</f>
        <v>35616.4</v>
      </c>
      <c r="F15" s="122">
        <f>'[11]Unpaid Loss Expense Reserves-14'!F30</f>
        <v>0</v>
      </c>
      <c r="G15" s="122">
        <f>SUM(B15:F15)</f>
        <v>570018.26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374</v>
      </c>
      <c r="B16" s="126">
        <f>'[11]Unpaid Loss Expense Reserves-14'!B31</f>
        <v>14648.58</v>
      </c>
      <c r="C16" s="126">
        <f>'[11]Unpaid Loss Expense Reserves-14'!C31</f>
        <v>16042.55</v>
      </c>
      <c r="D16" s="126">
        <f>'[11]Unpaid Loss Expense Reserves-14'!D31</f>
        <v>6431.0199999999995</v>
      </c>
      <c r="E16" s="122">
        <f>'[11]Unpaid Loss Expense Reserves-14'!E31</f>
        <v>0</v>
      </c>
      <c r="F16" s="122">
        <f>'[11]Unpaid Loss Expense Reserves-14'!F31</f>
        <v>3944.75</v>
      </c>
      <c r="G16" s="122">
        <f>SUM(B16:F16)+1</f>
        <v>41067.899999999994</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375</v>
      </c>
      <c r="B17" s="122">
        <f>'[11]Unpaid Loss Expense Reserves-14'!B32</f>
        <v>0</v>
      </c>
      <c r="C17" s="122">
        <f>'[11]Unpaid Loss Expense Reserves-14'!C32</f>
        <v>331.45</v>
      </c>
      <c r="D17" s="122">
        <f>'[11]Unpaid Loss Expense Reserves-14'!D32</f>
        <v>0</v>
      </c>
      <c r="E17" s="122">
        <f>'[11]Unpaid Loss Expense Reserves-14'!E32</f>
        <v>0</v>
      </c>
      <c r="F17" s="122">
        <f>'[11]Unpaid Loss Expense Reserves-14'!F32</f>
        <v>0</v>
      </c>
      <c r="G17" s="122">
        <f>SUM(B17:F17)</f>
        <v>331.45</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5" t="s">
        <v>376</v>
      </c>
      <c r="B18" s="138">
        <f>SUM(B15:B17)+1</f>
        <v>150717.19999999998</v>
      </c>
      <c r="C18" s="138">
        <f>SUM(C15:C17)</f>
        <v>353667.78</v>
      </c>
      <c r="D18" s="138">
        <f>SUM(D15:D17)</f>
        <v>67471.48</v>
      </c>
      <c r="E18" s="332">
        <f>SUM(E15:E17)</f>
        <v>35616.4</v>
      </c>
      <c r="F18" s="332">
        <f>SUM(F15:F17)</f>
        <v>3944.75</v>
      </c>
      <c r="G18" s="129">
        <f>SUM(G15:G17)-1</f>
        <v>611416.61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8"/>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6" t="s">
        <v>480</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373</v>
      </c>
      <c r="B21" s="126">
        <f>'[14]Loss Expenses QTD-7'!B22</f>
        <v>0</v>
      </c>
      <c r="C21" s="126">
        <f>'[14]Loss Expenses QTD-7'!C22</f>
        <v>357420.75</v>
      </c>
      <c r="D21" s="126">
        <f>'[14]Loss Expenses QTD-7'!D22</f>
        <v>167154.49</v>
      </c>
      <c r="E21" s="122">
        <f>'[14]Loss Expenses QTD-7'!E22</f>
        <v>26431.18</v>
      </c>
      <c r="F21" s="122">
        <f>'[14]Loss Expenses QTD-7'!F22</f>
        <v>23998.83</v>
      </c>
      <c r="G21" s="122">
        <f>SUM(B21:F21)</f>
        <v>575005.25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396</v>
      </c>
      <c r="B22" s="126">
        <f>'[14]Loss Expenses QTD-7'!B23</f>
        <v>0</v>
      </c>
      <c r="C22" s="126">
        <f>'[14]Loss Expenses QTD-7'!C23</f>
        <v>43671.1</v>
      </c>
      <c r="D22" s="126">
        <f>'[14]Loss Expenses QTD-7'!D23</f>
        <v>14780.02</v>
      </c>
      <c r="E22" s="122">
        <f>'[14]Loss Expenses QTD-7'!E23</f>
        <v>16348.91</v>
      </c>
      <c r="F22" s="122">
        <f>'[14]Loss Expenses QTD-7'!F23</f>
        <v>310.84</v>
      </c>
      <c r="G22" s="122">
        <f>SUM(B22:F22)</f>
        <v>75110.87</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375</v>
      </c>
      <c r="B23" s="126">
        <f>'[14]Loss Expenses QTD-7'!B24</f>
        <v>0</v>
      </c>
      <c r="C23" s="126">
        <f>'[14]Loss Expenses QTD-7'!C24</f>
        <v>0</v>
      </c>
      <c r="D23" s="126">
        <f>'[14]Loss Expenses QTD-7'!D24</f>
        <v>0</v>
      </c>
      <c r="E23" s="122">
        <f>'[14]Loss Expenses QTD-7'!E24</f>
        <v>0</v>
      </c>
      <c r="F23" s="122">
        <f>'[14]Loss Expenses QTD-7'!F24</f>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5" t="s">
        <v>376</v>
      </c>
      <c r="B24" s="138">
        <f aca="true" t="shared" si="0" ref="B24:G24">SUM(B21:B23)</f>
        <v>0</v>
      </c>
      <c r="C24" s="138">
        <f t="shared" si="0"/>
        <v>401091.85</v>
      </c>
      <c r="D24" s="138">
        <f>SUM(D21:D23)-1</f>
        <v>181933.50999999998</v>
      </c>
      <c r="E24" s="332">
        <f t="shared" si="0"/>
        <v>42780.09</v>
      </c>
      <c r="F24" s="332">
        <f t="shared" si="0"/>
        <v>24309.670000000002</v>
      </c>
      <c r="G24" s="129">
        <f t="shared" si="0"/>
        <v>650116.12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row>
    <row r="26" spans="1:38" s="23" customFormat="1" ht="30" customHeight="1">
      <c r="A26" s="876" t="s">
        <v>433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373</v>
      </c>
      <c r="B27" s="122">
        <f aca="true" t="shared" si="1" ref="B27:F29">B9+B15-B21</f>
        <v>148095.6</v>
      </c>
      <c r="C27" s="122">
        <f t="shared" si="1"/>
        <v>384275.65</v>
      </c>
      <c r="D27" s="122">
        <f>D9+D15-D21</f>
        <v>-12329.48000000001</v>
      </c>
      <c r="E27" s="122">
        <f>E9+E15-E21</f>
        <v>12723.900000000001</v>
      </c>
      <c r="F27" s="122">
        <f t="shared" si="1"/>
        <v>-5430.279999999999</v>
      </c>
      <c r="G27" s="122">
        <f>SUM(B27:F27)+2</f>
        <v>527337.39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374</v>
      </c>
      <c r="B28" s="122">
        <f>B10+B16-B22</f>
        <v>28508.5</v>
      </c>
      <c r="C28" s="122">
        <f>C10+C16-C22+1</f>
        <v>138899.28999999998</v>
      </c>
      <c r="D28" s="122">
        <f>D10+D16-D22</f>
        <v>8331.36</v>
      </c>
      <c r="E28" s="122">
        <f t="shared" si="1"/>
        <v>-11031.76</v>
      </c>
      <c r="F28" s="122">
        <f t="shared" si="1"/>
        <v>4511.51</v>
      </c>
      <c r="G28" s="122">
        <f>SUM(B28:F28)</f>
        <v>169218.89999999997</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375</v>
      </c>
      <c r="B29" s="122">
        <f t="shared" si="1"/>
        <v>0</v>
      </c>
      <c r="C29" s="122">
        <f>C11+C17-C23-1</f>
        <v>1821.8500000000001</v>
      </c>
      <c r="D29" s="122">
        <f t="shared" si="1"/>
        <v>0</v>
      </c>
      <c r="E29" s="122">
        <f t="shared" si="1"/>
        <v>0</v>
      </c>
      <c r="F29" s="122">
        <f t="shared" si="1"/>
        <v>0</v>
      </c>
      <c r="G29" s="122">
        <f>SUM(B29:F29)</f>
        <v>1821.8500000000001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376</v>
      </c>
      <c r="B30" s="343">
        <f>SUM(B27:B29)+1</f>
        <v>176605.1</v>
      </c>
      <c r="C30" s="343">
        <f>SUM(C27:C29)</f>
        <v>524996.79</v>
      </c>
      <c r="D30" s="343">
        <f>SUM(D27:D29)</f>
        <v>-3998.12000000001</v>
      </c>
      <c r="E30" s="343">
        <f>SUM(E27:E29)</f>
        <v>1692.1400000000012</v>
      </c>
      <c r="F30" s="343">
        <f>SUM(F27:F29)+1</f>
        <v>-917.7699999999986</v>
      </c>
      <c r="G30" s="343">
        <f>SUM(G27:G29)</f>
        <v>698378.14</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80"/>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248</v>
      </c>
      <c r="B1" s="307"/>
      <c r="C1" s="307"/>
      <c r="D1" s="324"/>
      <c r="E1" s="324"/>
      <c r="F1" s="324"/>
      <c r="G1" s="325"/>
    </row>
    <row r="2" spans="1:7" ht="19.5" customHeight="1">
      <c r="A2" s="19"/>
      <c r="B2" s="308"/>
      <c r="C2" s="308"/>
      <c r="D2" s="326"/>
      <c r="E2" s="326"/>
      <c r="F2" s="308"/>
      <c r="G2" s="308"/>
    </row>
    <row r="3" spans="1:7" s="103" customFormat="1" ht="18.75">
      <c r="A3" s="102" t="s">
        <v>382</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39</v>
      </c>
      <c r="C6" s="310" t="s">
        <v>43</v>
      </c>
      <c r="D6" s="322" t="s">
        <v>139</v>
      </c>
      <c r="E6" s="322" t="s">
        <v>210</v>
      </c>
      <c r="F6" s="322" t="s">
        <v>94</v>
      </c>
      <c r="G6" s="323" t="s">
        <v>249</v>
      </c>
    </row>
    <row r="7" spans="1:7" ht="15.75">
      <c r="A7" s="105" t="s">
        <v>383</v>
      </c>
      <c r="D7" s="330"/>
      <c r="E7" s="330"/>
      <c r="F7" s="330"/>
      <c r="G7" s="330"/>
    </row>
    <row r="8" spans="1:8" ht="15">
      <c r="A8" s="105" t="s">
        <v>384</v>
      </c>
      <c r="B8" s="311"/>
      <c r="C8" s="311"/>
      <c r="D8" s="330"/>
      <c r="E8" s="330"/>
      <c r="F8" s="330"/>
      <c r="G8" s="330"/>
      <c r="H8" s="114"/>
    </row>
    <row r="9" spans="1:8" ht="14.25">
      <c r="A9" s="106" t="s">
        <v>385</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231</v>
      </c>
    </row>
    <row r="10" spans="1:8" s="23" customFormat="1" ht="14.25">
      <c r="A10" s="107" t="s">
        <v>386</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232</v>
      </c>
    </row>
    <row r="11" spans="1:8" s="23" customFormat="1" ht="14.25">
      <c r="A11" s="107" t="s">
        <v>387</v>
      </c>
      <c r="B11" s="315" t="e">
        <f>+'[1]TB03-31-04(Final)'!D386</f>
        <v>#REF!</v>
      </c>
      <c r="C11" s="315" t="e">
        <f>+'[1]TB03-31-04(Final)'!F385</f>
        <v>#REF!</v>
      </c>
      <c r="D11" s="315" t="e">
        <f>+'[1]TB03-31-04(Final)'!F384</f>
        <v>#REF!</v>
      </c>
      <c r="E11" s="315">
        <f>+'[1]TB03-31-04(Final)'!F382</f>
        <v>0</v>
      </c>
      <c r="F11" s="315">
        <f>+'[1]TB03-31-04(Final)'!F381</f>
        <v>0</v>
      </c>
      <c r="G11" s="331" t="e">
        <f>SUM(B11:F11)</f>
        <v>#REF!</v>
      </c>
      <c r="H11" s="25" t="s">
        <v>233</v>
      </c>
    </row>
    <row r="12" spans="1:8" s="23" customFormat="1" ht="15.75" thickBot="1">
      <c r="A12" s="108" t="s">
        <v>376</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148</v>
      </c>
      <c r="B14" s="126"/>
      <c r="C14" s="126"/>
      <c r="D14" s="331"/>
      <c r="E14" s="331"/>
      <c r="F14" s="331"/>
      <c r="G14" s="331"/>
    </row>
    <row r="15" spans="1:7" s="23" customFormat="1" ht="14.25">
      <c r="A15" s="106" t="s">
        <v>388</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389</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390</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376</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199</v>
      </c>
      <c r="B20" s="312" t="s">
        <v>247</v>
      </c>
      <c r="C20" s="312" t="s">
        <v>247</v>
      </c>
      <c r="D20" s="331"/>
      <c r="E20" s="331"/>
      <c r="F20" s="331"/>
      <c r="G20" s="331"/>
    </row>
    <row r="21" spans="1:7" s="23" customFormat="1" ht="14.25">
      <c r="A21" s="106" t="s">
        <v>388</v>
      </c>
      <c r="B21" s="126">
        <v>0</v>
      </c>
      <c r="C21" s="126">
        <v>3812745.98</v>
      </c>
      <c r="D21" s="331">
        <v>796383.95</v>
      </c>
      <c r="E21" s="331">
        <v>173012</v>
      </c>
      <c r="F21" s="331">
        <f>4+76330.03</f>
        <v>76334.03</v>
      </c>
      <c r="G21" s="331">
        <f>SUM(B21:F21)</f>
        <v>4858475.96</v>
      </c>
    </row>
    <row r="22" spans="1:7" s="23" customFormat="1" ht="14.25">
      <c r="A22" s="106" t="s">
        <v>389</v>
      </c>
      <c r="B22" s="126">
        <v>0</v>
      </c>
      <c r="C22" s="126">
        <v>582572.89</v>
      </c>
      <c r="D22" s="331">
        <v>136273.61</v>
      </c>
      <c r="E22" s="331">
        <v>-982</v>
      </c>
      <c r="F22" s="331">
        <f>365.82+1967</f>
        <v>2332.82</v>
      </c>
      <c r="G22" s="331">
        <f>SUM(B22:F22)</f>
        <v>720197.32</v>
      </c>
    </row>
    <row r="23" spans="1:7" s="23" customFormat="1" ht="14.25">
      <c r="A23" s="106" t="s">
        <v>390</v>
      </c>
      <c r="B23" s="126">
        <v>0</v>
      </c>
      <c r="C23" s="126">
        <v>8803.51</v>
      </c>
      <c r="D23" s="331">
        <v>0</v>
      </c>
      <c r="E23" s="331">
        <v>0</v>
      </c>
      <c r="F23" s="331">
        <v>0</v>
      </c>
      <c r="G23" s="331">
        <f>SUM(B23:F23)</f>
        <v>8803.51</v>
      </c>
    </row>
    <row r="24" spans="1:8" s="23" customFormat="1" ht="15.75" thickBot="1">
      <c r="A24" s="108" t="s">
        <v>376</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391</v>
      </c>
      <c r="B26" s="126"/>
      <c r="C26" s="126"/>
      <c r="D26" s="331"/>
      <c r="E26" s="331"/>
      <c r="F26" s="331"/>
      <c r="G26" s="331"/>
    </row>
    <row r="27" spans="1:9" s="23" customFormat="1" ht="14.25">
      <c r="A27" s="106" t="s">
        <v>388</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364</v>
      </c>
      <c r="I27" s="23" t="s">
        <v>367</v>
      </c>
    </row>
    <row r="28" spans="1:8" s="23" customFormat="1" ht="14.25">
      <c r="A28" s="106" t="s">
        <v>389</v>
      </c>
      <c r="B28" s="331" t="e">
        <f t="shared" si="1"/>
        <v>#REF!</v>
      </c>
      <c r="C28" s="331" t="e">
        <f t="shared" si="1"/>
        <v>#REF!</v>
      </c>
      <c r="D28" s="331" t="e">
        <f t="shared" si="2"/>
        <v>#REF!</v>
      </c>
      <c r="E28" s="331">
        <f t="shared" si="2"/>
        <v>70972.57</v>
      </c>
      <c r="F28" s="331" t="e">
        <f>F10+(F16-F22)</f>
        <v>#REF!</v>
      </c>
      <c r="G28" s="331" t="e">
        <f>SUM(B28:F28)</f>
        <v>#REF!</v>
      </c>
      <c r="H28" s="25" t="s">
        <v>365</v>
      </c>
    </row>
    <row r="29" spans="1:8" s="23" customFormat="1" ht="14.25">
      <c r="A29" s="106" t="s">
        <v>390</v>
      </c>
      <c r="B29" s="331" t="e">
        <f t="shared" si="1"/>
        <v>#REF!</v>
      </c>
      <c r="C29" s="331" t="e">
        <f t="shared" si="1"/>
        <v>#REF!</v>
      </c>
      <c r="D29" s="331" t="e">
        <f t="shared" si="2"/>
        <v>#REF!</v>
      </c>
      <c r="E29" s="331">
        <f t="shared" si="2"/>
        <v>0</v>
      </c>
      <c r="F29" s="331" t="e">
        <f>F11+(F17-F23)</f>
        <v>#REF!</v>
      </c>
      <c r="G29" s="331" t="e">
        <f>SUM(B29:F29)</f>
        <v>#REF!</v>
      </c>
      <c r="H29" s="25" t="s">
        <v>366</v>
      </c>
    </row>
    <row r="30" spans="1:9" ht="15.75" thickBot="1">
      <c r="A30" s="108" t="s">
        <v>376</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427</v>
      </c>
      <c r="D33" s="348"/>
      <c r="E33" s="348"/>
      <c r="F33" s="348"/>
      <c r="G33" s="349" t="s">
        <v>425</v>
      </c>
    </row>
    <row r="34" spans="1:7" ht="14.25">
      <c r="A34" s="106" t="s">
        <v>388</v>
      </c>
      <c r="B34" s="126">
        <f>468189.06-222137.25</f>
        <v>246051.81</v>
      </c>
      <c r="C34" s="126">
        <f>468189.06-222137.25</f>
        <v>246051.81</v>
      </c>
      <c r="D34" s="126">
        <f>448199.18-670918.35</f>
        <v>-222719.16999999998</v>
      </c>
      <c r="E34" s="350">
        <v>0</v>
      </c>
      <c r="F34" s="350">
        <v>0</v>
      </c>
      <c r="G34" s="122">
        <f>SUM(B34:F34)</f>
        <v>269384.45</v>
      </c>
    </row>
    <row r="35" spans="1:7" ht="14.25">
      <c r="A35" s="106" t="s">
        <v>389</v>
      </c>
      <c r="B35" s="126">
        <f>175542.97-81939.83</f>
        <v>93603.14</v>
      </c>
      <c r="C35" s="126">
        <f>175542.97-81939.83</f>
        <v>93603.14</v>
      </c>
      <c r="D35" s="126">
        <f>180110.78-278566.43</f>
        <v>-98455.65</v>
      </c>
      <c r="E35" s="350">
        <v>0</v>
      </c>
      <c r="F35" s="350">
        <v>0</v>
      </c>
      <c r="G35" s="122">
        <f>SUM(B35:F35)</f>
        <v>88750.63</v>
      </c>
    </row>
    <row r="36" spans="1:7" ht="14.25">
      <c r="A36" s="106" t="s">
        <v>390</v>
      </c>
      <c r="B36" s="126">
        <f>3215.61-1526.93</f>
        <v>1688.68</v>
      </c>
      <c r="C36" s="126">
        <f>3215.61-1526.93</f>
        <v>1688.68</v>
      </c>
      <c r="D36" s="126">
        <f>3443.46-5433.83</f>
        <v>-1990.37</v>
      </c>
      <c r="E36" s="350">
        <v>0</v>
      </c>
      <c r="F36" s="350">
        <v>0</v>
      </c>
      <c r="G36" s="122">
        <f>SUM(B36:F36)</f>
        <v>1386.9900000000002</v>
      </c>
    </row>
    <row r="37" spans="1:7" ht="15.75" thickBot="1">
      <c r="A37" s="108" t="s">
        <v>376</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267</v>
      </c>
      <c r="B39" s="322" t="s">
        <v>43</v>
      </c>
      <c r="C39" s="322" t="s">
        <v>43</v>
      </c>
      <c r="D39" s="322" t="s">
        <v>139</v>
      </c>
      <c r="E39" s="322" t="s">
        <v>210</v>
      </c>
      <c r="F39" s="322" t="s">
        <v>282</v>
      </c>
      <c r="G39" s="323" t="s">
        <v>249</v>
      </c>
      <c r="H39" s="251"/>
    </row>
    <row r="40" spans="2:8" ht="15.75">
      <c r="B40" s="313"/>
      <c r="C40" s="313"/>
      <c r="D40" s="318"/>
      <c r="E40" s="318"/>
      <c r="F40" s="320"/>
      <c r="G40" s="315"/>
      <c r="H40" s="252" t="e">
        <f>+'[1]TB03-31-04(Final)'!G455</f>
        <v>#REF!</v>
      </c>
    </row>
    <row r="41" spans="1:8" ht="12.75" customHeight="1">
      <c r="A41" s="106" t="s">
        <v>388</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389</v>
      </c>
      <c r="B42" s="314" t="e">
        <f>+B28-B35</f>
        <v>#REF!</v>
      </c>
      <c r="C42" s="314" t="e">
        <f t="shared" si="4"/>
        <v>#REF!</v>
      </c>
      <c r="D42" s="314" t="e">
        <f t="shared" si="4"/>
        <v>#REF!</v>
      </c>
      <c r="E42" s="314">
        <f t="shared" si="4"/>
        <v>70972.57</v>
      </c>
      <c r="F42" s="314" t="e">
        <f t="shared" si="4"/>
        <v>#REF!</v>
      </c>
      <c r="G42" s="315" t="e">
        <f>SUM(C42:F42)</f>
        <v>#REF!</v>
      </c>
      <c r="H42" s="96"/>
    </row>
    <row r="43" spans="1:8" ht="14.25">
      <c r="A43" s="106" t="s">
        <v>390</v>
      </c>
      <c r="B43" s="314" t="e">
        <f>+B29-B36</f>
        <v>#REF!</v>
      </c>
      <c r="C43" s="314" t="e">
        <f>+C29-C36</f>
        <v>#REF!</v>
      </c>
      <c r="D43" s="314" t="e">
        <f>+D29-D36</f>
        <v>#REF!</v>
      </c>
      <c r="E43" s="314">
        <f>+E29-E35</f>
        <v>0</v>
      </c>
      <c r="F43" s="314" t="e">
        <f>+F29-F35</f>
        <v>#REF!</v>
      </c>
      <c r="G43" s="315" t="e">
        <f>SUM(C43:F43)</f>
        <v>#REF!</v>
      </c>
      <c r="H43" s="96"/>
    </row>
    <row r="44" spans="1:8" ht="15.75" thickBot="1">
      <c r="A44" s="108" t="s">
        <v>376</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26" t="s">
        <v>248</v>
      </c>
      <c r="C1" s="927"/>
      <c r="D1" s="927"/>
      <c r="E1" s="927"/>
      <c r="F1" s="927"/>
      <c r="G1" s="927"/>
      <c r="H1" s="927"/>
      <c r="I1" s="928"/>
    </row>
    <row r="2" spans="2:9" s="11" customFormat="1" ht="19.5">
      <c r="B2" s="935"/>
      <c r="C2" s="936"/>
      <c r="D2" s="936"/>
      <c r="E2" s="936"/>
      <c r="F2" s="936"/>
      <c r="G2" s="605"/>
      <c r="H2" s="606"/>
      <c r="I2" s="607"/>
    </row>
    <row r="3" spans="2:9" s="12" customFormat="1" ht="16.5">
      <c r="B3" s="929" t="s">
        <v>203</v>
      </c>
      <c r="C3" s="930"/>
      <c r="D3" s="930"/>
      <c r="E3" s="930"/>
      <c r="F3" s="930"/>
      <c r="G3" s="930"/>
      <c r="H3" s="930"/>
      <c r="I3" s="931"/>
    </row>
    <row r="4" spans="2:9" s="12" customFormat="1" ht="16.5">
      <c r="B4" s="932" t="s">
        <v>147</v>
      </c>
      <c r="C4" s="933"/>
      <c r="D4" s="933"/>
      <c r="E4" s="933"/>
      <c r="F4" s="933"/>
      <c r="G4" s="933"/>
      <c r="H4" s="933"/>
      <c r="I4" s="934"/>
    </row>
    <row r="5" spans="2:9" ht="15">
      <c r="B5" s="608"/>
      <c r="C5" s="633"/>
      <c r="D5" s="633"/>
      <c r="E5" s="924" t="s">
        <v>131</v>
      </c>
      <c r="F5" s="924"/>
      <c r="G5" s="632"/>
      <c r="H5" s="924" t="s">
        <v>132</v>
      </c>
      <c r="I5" s="925"/>
    </row>
    <row r="6" spans="2:9" ht="45">
      <c r="B6" s="608"/>
      <c r="C6" s="609" t="s">
        <v>204</v>
      </c>
      <c r="D6" s="609" t="s">
        <v>205</v>
      </c>
      <c r="E6" s="609" t="s">
        <v>206</v>
      </c>
      <c r="F6" s="609" t="s">
        <v>207</v>
      </c>
      <c r="G6" s="610"/>
      <c r="H6" s="609" t="s">
        <v>206</v>
      </c>
      <c r="I6" s="631" t="s">
        <v>207</v>
      </c>
    </row>
    <row r="7" spans="1:9" ht="15">
      <c r="A7" s="14" t="s">
        <v>421</v>
      </c>
      <c r="B7" s="611" t="s">
        <v>250</v>
      </c>
      <c r="C7" s="473"/>
      <c r="D7" s="473"/>
      <c r="E7" s="473"/>
      <c r="F7" s="473"/>
      <c r="G7" s="610"/>
      <c r="H7" s="596"/>
      <c r="I7" s="596"/>
    </row>
    <row r="8" spans="1:9" ht="14.25">
      <c r="A8" s="14">
        <v>5</v>
      </c>
      <c r="B8" s="612" t="s">
        <v>208</v>
      </c>
      <c r="C8" s="474"/>
      <c r="D8" s="474"/>
      <c r="E8" s="474"/>
      <c r="F8" s="474"/>
      <c r="G8" s="613"/>
      <c r="H8" s="597"/>
      <c r="I8" s="597"/>
    </row>
    <row r="9" spans="2:9" ht="14.25">
      <c r="B9" s="612" t="s">
        <v>209</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138</v>
      </c>
      <c r="C10" s="482">
        <v>0</v>
      </c>
      <c r="D10" s="482">
        <f>+'[1]TB03-31-04(Final)'!G25</f>
        <v>10038.47</v>
      </c>
      <c r="E10" s="482">
        <v>0</v>
      </c>
      <c r="F10" s="482">
        <f>SUM(C10:E10)</f>
        <v>10038.47</v>
      </c>
      <c r="G10" s="613"/>
      <c r="H10" s="597"/>
      <c r="I10" s="599">
        <f>+'[7]Balance Sheet (pg 1)'!$E$10</f>
        <v>9035.63</v>
      </c>
    </row>
    <row r="11" spans="1:9" ht="14.25" customHeight="1">
      <c r="A11" s="14">
        <v>18</v>
      </c>
      <c r="B11" s="612" t="s">
        <v>252</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254</v>
      </c>
      <c r="C12" s="482">
        <f>+'[1]TB03-31-04(Final)'!G1033</f>
        <v>52339.42</v>
      </c>
      <c r="D12" s="482">
        <v>0</v>
      </c>
      <c r="E12" s="482">
        <v>0</v>
      </c>
      <c r="F12" s="482">
        <f>+C12-E12</f>
        <v>52339.42</v>
      </c>
      <c r="G12" s="613"/>
      <c r="H12" s="597"/>
      <c r="I12" s="600">
        <f>+'[7]Balance Sheet (pg 1)'!$E$12</f>
        <v>20473.260000000002</v>
      </c>
    </row>
    <row r="13" spans="1:9" ht="15.75" customHeight="1">
      <c r="A13" s="14">
        <v>18</v>
      </c>
      <c r="B13" s="612" t="s">
        <v>255</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149</v>
      </c>
      <c r="C14" s="482">
        <v>0</v>
      </c>
      <c r="D14" s="482">
        <v>0</v>
      </c>
      <c r="E14" s="482">
        <v>0</v>
      </c>
      <c r="F14" s="482">
        <f>+C14-E14</f>
        <v>0</v>
      </c>
      <c r="G14" s="613"/>
      <c r="H14" s="603">
        <f>+'[7]Balance Sheet (pg 1)'!$D$16</f>
        <v>335155</v>
      </c>
      <c r="I14" s="600">
        <f>+'[7]Balance Sheet (pg 1)'!$E$16</f>
        <v>0</v>
      </c>
    </row>
    <row r="15" spans="1:9" ht="14.25">
      <c r="A15" s="14">
        <v>23</v>
      </c>
      <c r="B15" s="615" t="s">
        <v>150</v>
      </c>
      <c r="C15" s="604">
        <v>0</v>
      </c>
      <c r="D15" s="604">
        <v>0</v>
      </c>
      <c r="E15" s="604">
        <f>C15</f>
        <v>0</v>
      </c>
      <c r="F15" s="604">
        <f>+C15-E15</f>
        <v>0</v>
      </c>
      <c r="G15" s="616"/>
      <c r="H15" s="603">
        <v>42501</v>
      </c>
      <c r="I15" s="602">
        <f>+'[7]Balance Sheet (pg 1)'!$E$14</f>
        <v>0</v>
      </c>
    </row>
    <row r="16" spans="1:9" ht="14.25">
      <c r="A16" s="14">
        <v>23</v>
      </c>
      <c r="B16" s="614" t="s">
        <v>151</v>
      </c>
      <c r="C16" s="483" t="e">
        <f>+'[1]TB03-31-04(Final)'!F1025</f>
        <v>#REF!</v>
      </c>
      <c r="D16" s="482">
        <v>0</v>
      </c>
      <c r="E16" s="482">
        <v>0</v>
      </c>
      <c r="F16" s="482" t="e">
        <f>+C16-D16-E16</f>
        <v>#REF!</v>
      </c>
      <c r="G16" s="613"/>
      <c r="H16" s="603">
        <f>+'[7]Balance Sheet (pg 1)'!$D$17</f>
        <v>4979.98</v>
      </c>
      <c r="I16" s="600">
        <f>+'[7]Balance Sheet (pg 1)'!$E$17</f>
        <v>0</v>
      </c>
    </row>
    <row r="17" spans="2:9" ht="15">
      <c r="B17" s="617" t="s">
        <v>256</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420</v>
      </c>
      <c r="B19" s="621" t="s">
        <v>257</v>
      </c>
      <c r="C19" s="476"/>
      <c r="D19" s="476"/>
      <c r="E19" s="476"/>
      <c r="F19" s="476"/>
      <c r="G19" s="613"/>
      <c r="H19" s="22"/>
      <c r="I19" s="620"/>
    </row>
    <row r="20" spans="1:9" ht="15">
      <c r="A20" s="14">
        <v>1</v>
      </c>
      <c r="B20" s="622" t="s">
        <v>134</v>
      </c>
      <c r="C20" s="476"/>
      <c r="D20" s="477"/>
      <c r="E20" s="485">
        <f>-'[1]TB3-31-04 (Pre)'!F199</f>
        <v>47682</v>
      </c>
      <c r="F20" s="477"/>
      <c r="G20" s="613"/>
      <c r="H20" s="342">
        <f>+'[7]Balance Sheet (pg 1)'!$D$26</f>
        <v>91297.81</v>
      </c>
      <c r="I20" s="620"/>
    </row>
    <row r="21" spans="1:9" ht="15">
      <c r="A21" s="14">
        <v>3</v>
      </c>
      <c r="B21" s="622" t="s">
        <v>135</v>
      </c>
      <c r="C21" s="476"/>
      <c r="D21" s="477"/>
      <c r="E21" s="485">
        <f>-'[1]TB3-31-04 (Pre)'!F198</f>
        <v>6748.45</v>
      </c>
      <c r="F21" s="486"/>
      <c r="G21" s="613"/>
      <c r="H21" s="342"/>
      <c r="I21" s="620"/>
    </row>
    <row r="22" spans="1:9" ht="15">
      <c r="A22" s="14">
        <v>4</v>
      </c>
      <c r="B22" s="622" t="s">
        <v>136</v>
      </c>
      <c r="C22" s="476"/>
      <c r="D22" s="538"/>
      <c r="E22" s="485">
        <f>-'[1]TB03-31-04(Final)'!G272</f>
        <v>263743.5</v>
      </c>
      <c r="F22" s="476"/>
      <c r="G22" s="613"/>
      <c r="H22" s="342">
        <f>+'[7]Balance Sheet (pg 1)'!$D$25</f>
        <v>113994.26000000001</v>
      </c>
      <c r="I22" s="620"/>
    </row>
    <row r="23" spans="1:9" ht="15">
      <c r="A23" s="14">
        <v>5</v>
      </c>
      <c r="B23" s="622" t="s">
        <v>100</v>
      </c>
      <c r="C23" s="476"/>
      <c r="D23" s="538"/>
      <c r="E23" s="485">
        <f>-'[1]TB03-31-04(Final)'!G207</f>
        <v>20527.9</v>
      </c>
      <c r="F23" s="476"/>
      <c r="G23" s="613"/>
      <c r="H23" s="127">
        <f>-'[6]TB09-30-02(Final)'!$F$195</f>
        <v>37678.14</v>
      </c>
      <c r="I23" s="620"/>
    </row>
    <row r="24" spans="1:9" ht="15" customHeight="1">
      <c r="A24" s="14">
        <v>6</v>
      </c>
      <c r="B24" s="622" t="s">
        <v>137</v>
      </c>
      <c r="C24" s="476"/>
      <c r="D24" s="476"/>
      <c r="E24" s="485">
        <f>-'[1]TB03-31-04(Final)'!G199</f>
        <v>50113.97</v>
      </c>
      <c r="F24" s="476"/>
      <c r="G24" s="613"/>
      <c r="H24" s="342">
        <f>+'[7]Balance Sheet (pg 1)'!$D$37</f>
        <v>34740</v>
      </c>
      <c r="I24" s="620"/>
    </row>
    <row r="25" spans="1:9" ht="15">
      <c r="A25" s="14">
        <v>10</v>
      </c>
      <c r="B25" s="622" t="s">
        <v>14</v>
      </c>
      <c r="C25" s="476"/>
      <c r="D25" s="477"/>
      <c r="E25" s="485">
        <f>-'[1]TB03-31-04(Final)'!G267</f>
        <v>446013</v>
      </c>
      <c r="F25" s="476"/>
      <c r="G25" s="613"/>
      <c r="H25" s="342">
        <f>+'[7]Balance Sheet (pg 1)'!$D$24</f>
        <v>364716</v>
      </c>
      <c r="I25" s="620"/>
    </row>
    <row r="26" spans="1:9" ht="15">
      <c r="A26" s="14">
        <v>14</v>
      </c>
      <c r="B26" s="622" t="s">
        <v>152</v>
      </c>
      <c r="C26" s="476"/>
      <c r="D26" s="477"/>
      <c r="E26" s="485">
        <f>-'[1]TB03-31-04(Final)'!G256</f>
        <v>294617.31</v>
      </c>
      <c r="F26" s="476"/>
      <c r="G26" s="613"/>
      <c r="H26" s="342">
        <f>+'[7]Balance Sheet (pg 1)'!$D$23</f>
        <v>965550.22</v>
      </c>
      <c r="I26" s="620"/>
    </row>
    <row r="27" spans="1:9" ht="15">
      <c r="A27" s="14">
        <v>27</v>
      </c>
      <c r="B27" s="622" t="s">
        <v>435</v>
      </c>
      <c r="C27" s="476"/>
      <c r="D27" s="477"/>
      <c r="E27" s="485">
        <f>-'[1]TB03-31-04(Final)'!G258</f>
        <v>1290906</v>
      </c>
      <c r="F27" s="476"/>
      <c r="G27" s="613"/>
      <c r="H27" s="342">
        <f>+'[7]Balance Sheet (pg 1)'!$D$22</f>
        <v>618846.84</v>
      </c>
      <c r="I27" s="620"/>
    </row>
    <row r="28" spans="1:9" ht="15">
      <c r="A28" s="14">
        <v>27</v>
      </c>
      <c r="B28" s="622" t="s">
        <v>436</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153</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260</v>
      </c>
      <c r="C32" s="476"/>
      <c r="D32" s="476"/>
      <c r="E32" s="476"/>
      <c r="F32" s="476"/>
      <c r="G32" s="613"/>
      <c r="H32" s="342"/>
      <c r="I32" s="620"/>
    </row>
    <row r="33" spans="1:9" ht="15">
      <c r="A33" s="14">
        <v>9</v>
      </c>
      <c r="B33" s="622" t="s">
        <v>261</v>
      </c>
      <c r="C33" s="476"/>
      <c r="D33" s="477"/>
      <c r="E33" s="485">
        <f>-'[1]TB03-31-04(Final)'!G65</f>
        <v>11049613</v>
      </c>
      <c r="F33" s="476"/>
      <c r="G33" s="613"/>
      <c r="H33" s="342">
        <f>+'[7]Balance Sheet (pg 1)'!$D$31</f>
        <v>8776992</v>
      </c>
      <c r="I33" s="620"/>
    </row>
    <row r="34" spans="1:9" ht="15">
      <c r="A34" s="14">
        <v>114</v>
      </c>
      <c r="B34" s="622" t="s">
        <v>154</v>
      </c>
      <c r="C34" s="476"/>
      <c r="D34" s="477"/>
      <c r="E34" s="485">
        <f>-'[1]TB03-31-04(Final)'!G104</f>
        <v>6198399.7700000005</v>
      </c>
      <c r="F34" s="476"/>
      <c r="G34" s="613"/>
      <c r="H34" s="342">
        <f>+'[7]Balance Sheet (pg 1)'!$D$32</f>
        <v>5068927.600000001</v>
      </c>
      <c r="I34" s="620"/>
    </row>
    <row r="35" spans="1:9" ht="15">
      <c r="A35" s="14">
        <v>114</v>
      </c>
      <c r="B35" s="622" t="s">
        <v>155</v>
      </c>
      <c r="C35" s="476"/>
      <c r="D35" s="477"/>
      <c r="E35" s="485">
        <f>-'[1]TB03-31-04(Final)'!G121</f>
        <v>1364184.0999999999</v>
      </c>
      <c r="F35" s="476"/>
      <c r="G35" s="613"/>
      <c r="H35" s="342">
        <f>+'[7]Balance Sheet (pg 1)'!$D$33</f>
        <v>1302472.2</v>
      </c>
      <c r="I35" s="620"/>
    </row>
    <row r="36" spans="1:9" ht="15">
      <c r="A36" s="14">
        <v>114</v>
      </c>
      <c r="B36" s="622" t="s">
        <v>156</v>
      </c>
      <c r="C36" s="476"/>
      <c r="D36" s="477"/>
      <c r="E36" s="485">
        <f>-'[1]TB03-31-04(Final)'!G159</f>
        <v>524501</v>
      </c>
      <c r="F36" s="476"/>
      <c r="G36" s="613"/>
      <c r="H36" s="342">
        <f>+'[7]Balance Sheet (pg 1)'!$D$34</f>
        <v>394965.17999999993</v>
      </c>
      <c r="I36" s="620"/>
    </row>
    <row r="37" spans="1:9" ht="15">
      <c r="A37" s="14">
        <v>114</v>
      </c>
      <c r="B37" s="622" t="s">
        <v>157</v>
      </c>
      <c r="C37" s="477"/>
      <c r="D37" s="477"/>
      <c r="E37" s="485">
        <f>-'[1]TB03-31-04(Final)'!G193</f>
        <v>226567.97999999998</v>
      </c>
      <c r="F37" s="476"/>
      <c r="G37" s="613"/>
      <c r="H37" s="342">
        <f>+'[7]Balance Sheet (pg 1)'!$D$35</f>
        <v>127127.4</v>
      </c>
      <c r="I37" s="620"/>
    </row>
    <row r="38" spans="1:9" ht="15">
      <c r="A38" s="14">
        <v>5</v>
      </c>
      <c r="B38" s="622" t="s">
        <v>419</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378</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263</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264</v>
      </c>
      <c r="C44" s="476"/>
      <c r="D44" s="476"/>
      <c r="E44" s="477"/>
      <c r="F44" s="476"/>
      <c r="G44" s="613"/>
      <c r="H44" s="342"/>
      <c r="I44" s="620"/>
    </row>
    <row r="45" spans="2:9" ht="15">
      <c r="B45" s="622" t="s">
        <v>133</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265</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77" t="s">
        <v>248</v>
      </c>
      <c r="B1" s="977"/>
      <c r="C1" s="977"/>
      <c r="D1" s="977"/>
      <c r="E1" s="977"/>
      <c r="F1" s="977"/>
      <c r="G1" s="977"/>
      <c r="H1" s="977"/>
    </row>
    <row r="2" spans="1:8" ht="19.5" customHeight="1">
      <c r="A2" s="976"/>
      <c r="B2" s="976"/>
      <c r="C2" s="976"/>
      <c r="D2" s="976"/>
      <c r="E2" s="976"/>
      <c r="F2" s="976"/>
      <c r="G2" s="976"/>
      <c r="H2" s="976"/>
    </row>
    <row r="3" spans="1:8" s="103" customFormat="1" ht="18.75">
      <c r="A3" s="978" t="s">
        <v>382</v>
      </c>
      <c r="B3" s="978"/>
      <c r="C3" s="978"/>
      <c r="D3" s="978"/>
      <c r="E3" s="978"/>
      <c r="F3" s="978"/>
      <c r="G3" s="978"/>
      <c r="H3" s="978"/>
    </row>
    <row r="4" spans="1:8" s="103" customFormat="1" ht="18.75">
      <c r="A4" s="978" t="str">
        <f>+'(7)Premiums YTD8'!A4</f>
        <v>YTD PERIOD MARCH 31st, 2004</v>
      </c>
      <c r="B4" s="978"/>
      <c r="C4" s="978"/>
      <c r="D4" s="978"/>
      <c r="E4" s="978"/>
      <c r="F4" s="978"/>
      <c r="G4" s="978"/>
      <c r="H4" s="978"/>
    </row>
    <row r="5" spans="1:8" s="103" customFormat="1" ht="16.5">
      <c r="A5" s="453"/>
      <c r="B5" s="376"/>
      <c r="C5" s="376"/>
      <c r="D5" s="454"/>
      <c r="E5" s="454"/>
      <c r="F5" s="454"/>
      <c r="G5" s="377"/>
      <c r="H5" s="454"/>
    </row>
    <row r="6" spans="1:8" ht="30" customHeight="1">
      <c r="A6" s="455"/>
      <c r="B6" s="570" t="s">
        <v>39</v>
      </c>
      <c r="C6" s="570" t="s">
        <v>43</v>
      </c>
      <c r="D6" s="570" t="s">
        <v>139</v>
      </c>
      <c r="E6" s="570" t="s">
        <v>210</v>
      </c>
      <c r="F6" s="570" t="s">
        <v>94</v>
      </c>
      <c r="G6" s="571" t="s">
        <v>230</v>
      </c>
      <c r="H6" s="571" t="s">
        <v>249</v>
      </c>
    </row>
    <row r="7" spans="1:8" s="127" customFormat="1" ht="15.75">
      <c r="A7" s="567" t="s">
        <v>383</v>
      </c>
      <c r="B7" s="456"/>
      <c r="C7" s="456"/>
      <c r="D7" s="457"/>
      <c r="E7" s="457"/>
      <c r="F7" s="457"/>
      <c r="G7" s="457"/>
      <c r="H7" s="457"/>
    </row>
    <row r="8" spans="1:8" s="127" customFormat="1" ht="15">
      <c r="A8" s="567" t="s">
        <v>384</v>
      </c>
      <c r="B8" s="375"/>
      <c r="C8" s="375"/>
      <c r="D8" s="457"/>
      <c r="E8" s="457"/>
      <c r="F8" s="457"/>
      <c r="G8" s="457"/>
      <c r="H8" s="457"/>
    </row>
    <row r="9" spans="1:9" ht="14.25">
      <c r="A9" s="568" t="s">
        <v>385</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386</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387</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376</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4</v>
      </c>
      <c r="B14" s="126"/>
      <c r="C14" s="126"/>
      <c r="D14" s="555"/>
      <c r="E14" s="555"/>
      <c r="F14" s="555"/>
      <c r="G14" s="331"/>
      <c r="H14" s="331"/>
      <c r="I14" s="287"/>
    </row>
    <row r="15" spans="1:8" s="23" customFormat="1" ht="14.25">
      <c r="A15" s="568" t="s">
        <v>388</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389</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390</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376</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199</v>
      </c>
      <c r="B20" s="312"/>
      <c r="C20" s="312"/>
      <c r="D20" s="331"/>
      <c r="E20" s="331"/>
      <c r="F20" s="331"/>
      <c r="G20" s="331"/>
      <c r="H20" s="331"/>
    </row>
    <row r="21" spans="1:8" s="23" customFormat="1" ht="14.25">
      <c r="A21" s="568" t="s">
        <v>388</v>
      </c>
      <c r="B21" s="126">
        <v>0</v>
      </c>
      <c r="C21" s="126">
        <v>3812746</v>
      </c>
      <c r="D21" s="331">
        <v>796384</v>
      </c>
      <c r="E21" s="331">
        <v>173012</v>
      </c>
      <c r="F21" s="331">
        <f>4+76330</f>
        <v>76334</v>
      </c>
      <c r="G21" s="331">
        <f>+'[3]Losses Incurred QTR'!$F$21</f>
        <v>149640.16</v>
      </c>
      <c r="H21" s="331">
        <f>SUM(B21:F21)</f>
        <v>4858476</v>
      </c>
    </row>
    <row r="22" spans="1:8" s="23" customFormat="1" ht="14.25">
      <c r="A22" s="568" t="s">
        <v>389</v>
      </c>
      <c r="B22" s="126">
        <v>0</v>
      </c>
      <c r="C22" s="126">
        <v>582573</v>
      </c>
      <c r="D22" s="331">
        <v>136274</v>
      </c>
      <c r="E22" s="331">
        <v>-982</v>
      </c>
      <c r="F22" s="331">
        <f>366+1967</f>
        <v>2333</v>
      </c>
      <c r="G22" s="331">
        <f>+'[3]Losses Incurred QTR'!$F$22</f>
        <v>60667.2</v>
      </c>
      <c r="H22" s="331">
        <f>SUM(B22:F22)-1</f>
        <v>720197</v>
      </c>
    </row>
    <row r="23" spans="1:8" s="23" customFormat="1" ht="14.25">
      <c r="A23" s="568" t="s">
        <v>390</v>
      </c>
      <c r="B23" s="126">
        <v>0</v>
      </c>
      <c r="C23" s="126">
        <v>8804</v>
      </c>
      <c r="D23" s="331">
        <v>0</v>
      </c>
      <c r="E23" s="331">
        <v>0</v>
      </c>
      <c r="F23" s="331">
        <v>0</v>
      </c>
      <c r="G23" s="331">
        <f>+'[3]Losses Incurred QTR'!$F$23</f>
        <v>-8764</v>
      </c>
      <c r="H23" s="331">
        <f>SUM(B23:F23)</f>
        <v>8804</v>
      </c>
    </row>
    <row r="24" spans="1:9" s="23" customFormat="1" ht="15.75" thickBot="1">
      <c r="A24" s="452" t="s">
        <v>376</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426</v>
      </c>
      <c r="B26" s="126"/>
      <c r="C26" s="126"/>
      <c r="D26" s="331"/>
      <c r="E26" s="331"/>
      <c r="F26" s="331"/>
      <c r="G26" s="331"/>
      <c r="H26" s="331"/>
      <c r="I26" s="23" t="e">
        <f>+H12+I25</f>
        <v>#REF!</v>
      </c>
    </row>
    <row r="27" spans="1:8" s="23" customFormat="1" ht="14.25">
      <c r="A27" s="568" t="s">
        <v>388</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389</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390</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376</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39</v>
      </c>
      <c r="C33" s="572" t="s">
        <v>43</v>
      </c>
      <c r="D33" s="573" t="s">
        <v>18</v>
      </c>
      <c r="E33" s="538"/>
      <c r="F33" s="538"/>
      <c r="G33" s="538"/>
      <c r="I33" s="110">
        <f>+'[1]TB03-31-04(Final)'!G462</f>
        <v>4105799.4900000007</v>
      </c>
    </row>
    <row r="34" spans="1:7" ht="18" customHeight="1">
      <c r="A34" s="569" t="s">
        <v>392</v>
      </c>
      <c r="B34" s="552"/>
      <c r="C34" s="552"/>
      <c r="D34" s="553"/>
      <c r="E34" s="553"/>
      <c r="F34" s="553"/>
      <c r="G34" s="478"/>
    </row>
    <row r="35" spans="1:7" ht="14.25">
      <c r="A35" s="568" t="s">
        <v>388</v>
      </c>
      <c r="B35" s="472">
        <f>+'[1](1)IBNR Cal13'!C27</f>
        <v>929888.0153114785</v>
      </c>
      <c r="C35" s="126">
        <v>0</v>
      </c>
      <c r="D35" s="357">
        <f>SUM(B35:C35)</f>
        <v>929888.0153114785</v>
      </c>
      <c r="E35" s="357"/>
      <c r="F35" s="357"/>
      <c r="G35" s="113"/>
    </row>
    <row r="36" spans="1:7" ht="14.25">
      <c r="A36" s="568" t="s">
        <v>389</v>
      </c>
      <c r="B36" s="126">
        <f>+'[1](1)IBNR Cal13'!C28</f>
        <v>302248.25796003203</v>
      </c>
      <c r="C36" s="126">
        <v>0</v>
      </c>
      <c r="D36" s="122">
        <f>SUM(B36:C36)</f>
        <v>302248.25796003203</v>
      </c>
      <c r="E36" s="304"/>
      <c r="F36" s="304"/>
      <c r="G36" s="122"/>
    </row>
    <row r="37" spans="1:7" ht="14.25">
      <c r="A37" s="568" t="s">
        <v>390</v>
      </c>
      <c r="B37" s="126">
        <f>+'[1](1)IBNR Cal13'!C29</f>
        <v>4148.069670959347</v>
      </c>
      <c r="C37" s="126">
        <v>0</v>
      </c>
      <c r="D37" s="122">
        <f>SUM(B37:C37)</f>
        <v>4148.069670959347</v>
      </c>
      <c r="E37" s="304"/>
      <c r="F37" s="304"/>
      <c r="G37" s="122"/>
    </row>
    <row r="38" spans="1:7" ht="15.75" thickBot="1">
      <c r="A38" s="452" t="s">
        <v>376</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130</v>
      </c>
      <c r="E50" s="321" t="s">
        <v>130</v>
      </c>
      <c r="F50" s="321" t="s">
        <v>130</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248</v>
      </c>
      <c r="B1" s="459"/>
      <c r="C1" s="423"/>
      <c r="D1" s="460"/>
      <c r="E1" s="460"/>
      <c r="F1" s="461"/>
      <c r="G1" s="461"/>
      <c r="H1" s="461"/>
    </row>
    <row r="2" spans="1:9" ht="18.75">
      <c r="A2" s="425"/>
      <c r="B2" s="425"/>
      <c r="C2" s="450"/>
      <c r="D2" s="450"/>
      <c r="E2" s="450"/>
      <c r="F2" s="426"/>
      <c r="G2" s="414"/>
      <c r="H2" s="414"/>
      <c r="I2" s="18"/>
    </row>
    <row r="3" spans="1:9" ht="15">
      <c r="A3" s="462" t="s">
        <v>393</v>
      </c>
      <c r="B3" s="462"/>
      <c r="C3" s="428"/>
      <c r="D3" s="463"/>
      <c r="E3" s="463"/>
      <c r="F3" s="414"/>
      <c r="G3" s="414"/>
      <c r="H3" s="414"/>
      <c r="I3" s="18"/>
    </row>
    <row r="4" spans="1:9" ht="15">
      <c r="A4" s="462" t="s">
        <v>394</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39</v>
      </c>
      <c r="C7" s="373" t="s">
        <v>43</v>
      </c>
      <c r="D7" s="466" t="s">
        <v>139</v>
      </c>
      <c r="E7" s="466" t="s">
        <v>210</v>
      </c>
      <c r="F7" s="466" t="s">
        <v>94</v>
      </c>
      <c r="G7" s="466" t="s">
        <v>230</v>
      </c>
      <c r="H7" s="467" t="s">
        <v>249</v>
      </c>
      <c r="I7" s="18"/>
    </row>
    <row r="8" spans="1:9" ht="30">
      <c r="A8" s="468" t="s">
        <v>395</v>
      </c>
      <c r="B8" s="372"/>
      <c r="C8" s="372"/>
      <c r="D8" s="380"/>
      <c r="E8" s="380"/>
      <c r="F8" s="380"/>
      <c r="G8" s="380"/>
      <c r="H8" s="469"/>
      <c r="I8" s="18"/>
    </row>
    <row r="9" spans="1:39" ht="14.25">
      <c r="A9" s="369" t="s">
        <v>373</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374</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375</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376</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373</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374</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375</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376</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198</v>
      </c>
      <c r="B20" s="312" t="s">
        <v>247</v>
      </c>
      <c r="C20" s="312" t="s">
        <v>247</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373</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396</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375</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376</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397</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373</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374</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375</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376</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81" t="s">
        <v>248</v>
      </c>
      <c r="B1" s="981"/>
      <c r="C1" s="981"/>
      <c r="D1" s="981"/>
      <c r="E1" s="981"/>
      <c r="F1" s="338" t="s">
        <v>31</v>
      </c>
      <c r="G1" s="339" t="s">
        <v>187</v>
      </c>
      <c r="H1" s="149" t="s">
        <v>404</v>
      </c>
      <c r="I1" s="150" t="s">
        <v>31</v>
      </c>
      <c r="J1" s="150"/>
      <c r="K1" s="189" t="s">
        <v>243</v>
      </c>
      <c r="L1" s="231"/>
      <c r="M1" s="231"/>
      <c r="N1" s="231"/>
    </row>
    <row r="2" spans="1:11" ht="20.25">
      <c r="A2" s="979" t="s">
        <v>245</v>
      </c>
      <c r="B2" s="979"/>
      <c r="C2" s="979"/>
      <c r="D2" s="979"/>
      <c r="E2" s="979"/>
      <c r="F2" s="151"/>
      <c r="G2" s="79"/>
      <c r="H2" s="75" t="s">
        <v>405</v>
      </c>
      <c r="I2" s="152"/>
      <c r="K2" s="190"/>
    </row>
    <row r="3" spans="1:11" ht="20.25">
      <c r="A3" s="980">
        <v>37802</v>
      </c>
      <c r="B3" s="980"/>
      <c r="C3" s="980"/>
      <c r="D3" s="980"/>
      <c r="E3" s="980"/>
      <c r="F3" s="151"/>
      <c r="G3" s="153"/>
      <c r="H3" s="76"/>
      <c r="K3" s="190" t="s">
        <v>258</v>
      </c>
    </row>
    <row r="4" spans="1:11" ht="15.75">
      <c r="A4" s="2"/>
      <c r="B4" s="2" t="s">
        <v>184</v>
      </c>
      <c r="C4" s="2"/>
      <c r="D4" s="80"/>
      <c r="E4" s="80"/>
      <c r="F4" s="154" t="s">
        <v>406</v>
      </c>
      <c r="H4" s="76"/>
      <c r="K4" s="190"/>
    </row>
    <row r="5" spans="1:11" ht="15.75">
      <c r="A5" s="81"/>
      <c r="B5" s="82" t="s">
        <v>401</v>
      </c>
      <c r="C5" s="3" t="s">
        <v>402</v>
      </c>
      <c r="D5" s="83" t="s">
        <v>403</v>
      </c>
      <c r="E5" s="80"/>
      <c r="F5" s="155" t="s">
        <v>407</v>
      </c>
      <c r="G5" s="77" t="s">
        <v>408</v>
      </c>
      <c r="H5" s="75" t="s">
        <v>409</v>
      </c>
      <c r="I5" s="78" t="s">
        <v>410</v>
      </c>
      <c r="J5" s="75"/>
      <c r="K5" s="191" t="s">
        <v>411</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44</v>
      </c>
      <c r="H8" s="76" t="s">
        <v>50</v>
      </c>
      <c r="I8" s="76">
        <f>D9</f>
        <v>737754.17</v>
      </c>
      <c r="J8" s="84"/>
      <c r="K8" s="190"/>
      <c r="L8" s="230"/>
      <c r="M8" s="230"/>
      <c r="N8" s="230"/>
    </row>
    <row r="9" spans="1:14" ht="15.75">
      <c r="A9" s="87" t="s">
        <v>373</v>
      </c>
      <c r="B9" s="199">
        <f>-'[1](1)IBNR Cal13'!C21</f>
        <v>0</v>
      </c>
      <c r="C9" s="199">
        <v>-737754.17</v>
      </c>
      <c r="D9" s="199">
        <f>B9-C9</f>
        <v>737754.17</v>
      </c>
      <c r="E9" s="160"/>
      <c r="F9" s="161"/>
      <c r="G9" s="76" t="s">
        <v>45</v>
      </c>
      <c r="H9" s="76" t="s">
        <v>51</v>
      </c>
      <c r="I9" s="76">
        <f>D10</f>
        <v>272517.95</v>
      </c>
      <c r="J9" s="84"/>
      <c r="K9" s="190"/>
      <c r="L9" s="230"/>
      <c r="M9" s="230"/>
      <c r="N9" s="230"/>
    </row>
    <row r="10" spans="1:14" ht="15.75">
      <c r="A10" s="87" t="s">
        <v>396</v>
      </c>
      <c r="B10" s="199">
        <f>-'[1](1)IBNR Cal13'!C22</f>
        <v>0</v>
      </c>
      <c r="C10" s="199">
        <v>-272517.95</v>
      </c>
      <c r="D10" s="199">
        <f>B10-C10</f>
        <v>272517.95</v>
      </c>
      <c r="E10" s="160"/>
      <c r="F10" s="161"/>
      <c r="G10" s="76" t="s">
        <v>46</v>
      </c>
      <c r="H10" s="76" t="s">
        <v>52</v>
      </c>
      <c r="I10" s="76">
        <f>D11</f>
        <v>4757.34</v>
      </c>
      <c r="J10" s="84"/>
      <c r="K10" s="190"/>
      <c r="L10" s="230"/>
      <c r="M10" s="230"/>
      <c r="N10" s="230"/>
    </row>
    <row r="11" spans="1:14" ht="15.75">
      <c r="A11" s="87" t="s">
        <v>375</v>
      </c>
      <c r="B11" s="293">
        <f>-'[1](1)IBNR Cal13'!C23</f>
        <v>0</v>
      </c>
      <c r="C11" s="199">
        <v>-4757.34</v>
      </c>
      <c r="D11" s="199">
        <f>B11-C11</f>
        <v>4757.34</v>
      </c>
      <c r="E11" s="160"/>
      <c r="F11" s="161"/>
      <c r="G11" s="76" t="s">
        <v>47</v>
      </c>
      <c r="H11" s="76" t="s">
        <v>53</v>
      </c>
      <c r="J11" s="84"/>
      <c r="K11" s="190">
        <f>I8</f>
        <v>737754.17</v>
      </c>
      <c r="L11" s="230"/>
      <c r="M11" s="230"/>
      <c r="N11" s="230"/>
    </row>
    <row r="12" spans="1:14" ht="15.75">
      <c r="A12" s="87"/>
      <c r="B12" s="199"/>
      <c r="C12" s="200"/>
      <c r="D12" s="199"/>
      <c r="E12" s="160"/>
      <c r="F12" s="161"/>
      <c r="G12" s="76" t="s">
        <v>48</v>
      </c>
      <c r="H12" s="76" t="s">
        <v>54</v>
      </c>
      <c r="J12" s="84"/>
      <c r="K12" s="190">
        <f>I9</f>
        <v>272517.95</v>
      </c>
      <c r="L12" s="230"/>
      <c r="M12" s="230"/>
      <c r="N12" s="230"/>
    </row>
    <row r="13" spans="1:14" ht="15.75">
      <c r="A13" s="87" t="s">
        <v>58</v>
      </c>
      <c r="B13" s="201">
        <f>SUM(B9:B12)</f>
        <v>0</v>
      </c>
      <c r="C13" s="201">
        <f>SUM(C9:C12)</f>
        <v>-1015029.4600000001</v>
      </c>
      <c r="D13" s="201">
        <f>SUM(D9:D12)</f>
        <v>1015029.4600000001</v>
      </c>
      <c r="E13" s="160"/>
      <c r="F13" s="161"/>
      <c r="G13" s="76" t="s">
        <v>49</v>
      </c>
      <c r="H13" s="76" t="s">
        <v>55</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33</v>
      </c>
      <c r="H15" s="76" t="s">
        <v>235</v>
      </c>
      <c r="J15" s="84"/>
      <c r="K15" s="190">
        <f>-D16</f>
        <v>664860.7953114785</v>
      </c>
      <c r="L15" s="230"/>
      <c r="M15" s="230"/>
      <c r="N15" s="230"/>
    </row>
    <row r="16" spans="1:14" ht="15.75">
      <c r="A16" s="87" t="s">
        <v>373</v>
      </c>
      <c r="B16" s="199">
        <f>-'[1](1)IBNR Cal13'!C27</f>
        <v>-929888.0153114785</v>
      </c>
      <c r="C16" s="199">
        <v>-265027.22</v>
      </c>
      <c r="D16" s="199">
        <f>B16-C16</f>
        <v>-664860.7953114785</v>
      </c>
      <c r="E16" s="160"/>
      <c r="F16" s="161"/>
      <c r="G16" s="76" t="s">
        <v>34</v>
      </c>
      <c r="H16" s="76" t="s">
        <v>236</v>
      </c>
      <c r="J16" s="84"/>
      <c r="K16" s="190">
        <f>-D17</f>
        <v>216633.17796003202</v>
      </c>
      <c r="L16" s="230"/>
      <c r="M16" s="230"/>
      <c r="N16" s="230"/>
    </row>
    <row r="17" spans="1:14" ht="15.75">
      <c r="A17" s="87" t="s">
        <v>396</v>
      </c>
      <c r="B17" s="199">
        <f>-'[1](1)IBNR Cal13'!C28</f>
        <v>-302248.25796003203</v>
      </c>
      <c r="C17" s="199">
        <v>-85615.08</v>
      </c>
      <c r="D17" s="199">
        <f>B17-C17</f>
        <v>-216633.17796003202</v>
      </c>
      <c r="E17" s="160"/>
      <c r="F17" s="161"/>
      <c r="G17" s="76" t="s">
        <v>35</v>
      </c>
      <c r="H17" s="76" t="s">
        <v>237</v>
      </c>
      <c r="J17" s="84"/>
      <c r="K17" s="190">
        <f>-D18</f>
        <v>2832.0896709593467</v>
      </c>
      <c r="L17" s="230"/>
      <c r="M17" s="230"/>
      <c r="N17" s="230"/>
    </row>
    <row r="18" spans="1:14" ht="15.75">
      <c r="A18" s="87" t="s">
        <v>375</v>
      </c>
      <c r="B18" s="199">
        <f>-'[1](1)IBNR Cal13'!C29</f>
        <v>-4148.069670959347</v>
      </c>
      <c r="C18" s="199">
        <v>-1315.98</v>
      </c>
      <c r="D18" s="199">
        <f>B18-C18</f>
        <v>-2832.0896709593467</v>
      </c>
      <c r="E18" s="160"/>
      <c r="F18" s="161"/>
      <c r="G18" s="76" t="s">
        <v>36</v>
      </c>
      <c r="H18" s="76" t="s">
        <v>238</v>
      </c>
      <c r="I18" s="76">
        <f>K15</f>
        <v>664860.7953114785</v>
      </c>
      <c r="J18" s="84"/>
      <c r="K18" s="190"/>
      <c r="L18" s="230"/>
      <c r="M18" s="230"/>
      <c r="N18" s="230"/>
    </row>
    <row r="19" spans="1:14" ht="15.75">
      <c r="A19" s="89"/>
      <c r="B19" s="199"/>
      <c r="C19" s="200"/>
      <c r="D19" s="199"/>
      <c r="E19" s="160"/>
      <c r="F19" s="161"/>
      <c r="G19" s="76" t="s">
        <v>37</v>
      </c>
      <c r="H19" s="76" t="s">
        <v>239</v>
      </c>
      <c r="I19" s="76">
        <f>K16</f>
        <v>216633.17796003202</v>
      </c>
      <c r="J19" s="84"/>
      <c r="K19" s="190"/>
      <c r="L19" s="230"/>
      <c r="M19" s="230"/>
      <c r="N19" s="230"/>
    </row>
    <row r="20" spans="1:14" ht="15.75">
      <c r="A20" s="87" t="s">
        <v>58</v>
      </c>
      <c r="B20" s="201">
        <f>SUM(B16:B19)</f>
        <v>-1236284.34294247</v>
      </c>
      <c r="C20" s="201">
        <f>SUM(C16:C19)</f>
        <v>-351958.27999999997</v>
      </c>
      <c r="D20" s="201">
        <f>SUM(D16:D19)</f>
        <v>-884326.06294247</v>
      </c>
      <c r="E20" s="160"/>
      <c r="F20" s="161"/>
      <c r="G20" s="76" t="s">
        <v>38</v>
      </c>
      <c r="H20" s="76" t="s">
        <v>240</v>
      </c>
      <c r="I20" s="366">
        <f>K17</f>
        <v>2832.0896709593467</v>
      </c>
      <c r="J20" s="84"/>
      <c r="K20" s="190"/>
      <c r="L20" s="80"/>
      <c r="M20" s="80"/>
      <c r="N20" s="80"/>
    </row>
    <row r="21" spans="1:11" ht="16.5" thickBot="1">
      <c r="A21" s="89"/>
      <c r="B21" s="160"/>
      <c r="C21" s="162"/>
      <c r="D21" s="160"/>
      <c r="E21" s="87"/>
      <c r="F21" s="66" t="s">
        <v>412</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246</v>
      </c>
      <c r="B23" s="270">
        <f>B13+B20</f>
        <v>-1236284.34294247</v>
      </c>
      <c r="C23" s="270">
        <f>C13+C20</f>
        <v>-1366987.74</v>
      </c>
      <c r="D23" s="270">
        <f>D13+D20</f>
        <v>130703.39705753012</v>
      </c>
      <c r="E23" s="165"/>
      <c r="F23" s="66" t="s">
        <v>413</v>
      </c>
      <c r="G23" s="67" t="s">
        <v>241</v>
      </c>
      <c r="H23" s="10"/>
      <c r="I23" s="169"/>
      <c r="J23" s="169"/>
      <c r="K23" s="195"/>
    </row>
    <row r="24" spans="1:11" ht="16.5" thickTop="1">
      <c r="A24" s="87"/>
      <c r="B24" s="87" t="s">
        <v>228</v>
      </c>
      <c r="C24" s="367" t="s">
        <v>101</v>
      </c>
      <c r="D24" s="87"/>
      <c r="E24" s="90"/>
      <c r="F24" s="66" t="s">
        <v>244</v>
      </c>
      <c r="G24" s="67" t="s">
        <v>242</v>
      </c>
      <c r="H24" s="67"/>
      <c r="I24" s="169"/>
      <c r="J24" s="169"/>
      <c r="K24" s="195" t="s">
        <v>258</v>
      </c>
    </row>
    <row r="25" spans="1:11" ht="15.75">
      <c r="A25" s="2"/>
      <c r="B25" s="368" t="s">
        <v>91</v>
      </c>
      <c r="C25" s="368" t="s">
        <v>92</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407</v>
      </c>
      <c r="J29" s="196"/>
      <c r="K29" s="195"/>
    </row>
    <row r="30" spans="1:11" ht="15.75">
      <c r="A30" s="2"/>
      <c r="B30" s="90"/>
      <c r="C30" s="90"/>
      <c r="D30" s="90"/>
      <c r="E30" s="90"/>
      <c r="F30" s="66" t="s">
        <v>414</v>
      </c>
      <c r="G30" s="67" t="s">
        <v>61</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59</v>
      </c>
      <c r="G33" s="67" t="s">
        <v>449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415</v>
      </c>
      <c r="G36" s="67" t="s">
        <v>60</v>
      </c>
      <c r="H36" s="67"/>
      <c r="I36" s="196"/>
      <c r="J36" s="196"/>
      <c r="K36" s="195"/>
    </row>
    <row r="37" spans="1:11" ht="15.75">
      <c r="A37" s="2"/>
      <c r="B37" s="2"/>
      <c r="C37" s="2"/>
      <c r="D37" s="2"/>
      <c r="E37" s="2"/>
      <c r="F37" s="161"/>
      <c r="H37" s="67"/>
      <c r="I37" s="196"/>
      <c r="J37" s="196" t="s">
        <v>418</v>
      </c>
      <c r="K37" s="353"/>
    </row>
    <row r="38" spans="1:11" ht="16.5" thickBot="1">
      <c r="A38" s="2"/>
      <c r="B38" s="2"/>
      <c r="C38" s="2"/>
      <c r="D38" s="2"/>
      <c r="E38" s="2"/>
      <c r="F38" s="73"/>
      <c r="G38" s="72"/>
      <c r="H38" s="72"/>
      <c r="I38" s="196"/>
      <c r="J38" s="196"/>
      <c r="K38" s="195"/>
    </row>
    <row r="39" spans="1:14" ht="16.5" thickBot="1">
      <c r="A39" s="2"/>
      <c r="B39" s="2"/>
      <c r="C39" s="2"/>
      <c r="D39" s="2"/>
      <c r="E39" s="2"/>
      <c r="F39" s="294" t="s">
        <v>417</v>
      </c>
      <c r="G39" s="72" t="s">
        <v>227</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38" t="s">
        <v>248</v>
      </c>
      <c r="B1" s="938"/>
      <c r="C1" s="938"/>
      <c r="D1" s="938"/>
      <c r="E1" s="938"/>
      <c r="F1" s="938"/>
      <c r="G1" s="938"/>
      <c r="H1" s="982" t="s">
        <v>404</v>
      </c>
      <c r="I1" s="983"/>
      <c r="J1" s="983"/>
      <c r="K1" s="983"/>
      <c r="L1" s="983"/>
      <c r="M1" s="984"/>
      <c r="O1" s="224"/>
    </row>
    <row r="2" spans="1:15" s="18" customFormat="1" ht="18.75">
      <c r="A2" s="987"/>
      <c r="B2" s="987"/>
      <c r="C2" s="987"/>
      <c r="D2" s="987"/>
      <c r="E2" s="987"/>
      <c r="F2" s="987"/>
      <c r="G2" s="987"/>
      <c r="H2" s="985" t="s">
        <v>405</v>
      </c>
      <c r="I2" s="975"/>
      <c r="J2" s="975"/>
      <c r="K2" s="975"/>
      <c r="L2" s="975"/>
      <c r="M2" s="986"/>
      <c r="O2" s="225"/>
    </row>
    <row r="3" spans="1:13" ht="12.75">
      <c r="A3" s="51"/>
      <c r="B3" s="52"/>
      <c r="C3" s="52"/>
      <c r="D3" s="205"/>
      <c r="E3" s="52"/>
      <c r="F3" s="52"/>
      <c r="G3" s="52"/>
      <c r="H3" s="66" t="s">
        <v>12</v>
      </c>
      <c r="I3" s="10" t="s">
        <v>452</v>
      </c>
      <c r="J3" s="10"/>
      <c r="K3" s="265"/>
      <c r="L3" s="179" t="s">
        <v>450</v>
      </c>
      <c r="M3" s="178" t="s">
        <v>454</v>
      </c>
    </row>
    <row r="4" spans="1:15" s="54" customFormat="1" ht="15.75">
      <c r="A4" s="975" t="s">
        <v>185</v>
      </c>
      <c r="B4" s="975"/>
      <c r="C4" s="975"/>
      <c r="D4" s="975"/>
      <c r="E4" s="975"/>
      <c r="F4" s="975"/>
      <c r="G4" s="975"/>
      <c r="H4" s="66" t="s">
        <v>406</v>
      </c>
      <c r="I4" s="67"/>
      <c r="J4" s="67"/>
      <c r="K4" s="266"/>
      <c r="L4" s="179"/>
      <c r="M4" s="180"/>
      <c r="O4" s="226"/>
    </row>
    <row r="5" spans="1:16" s="54" customFormat="1" ht="15.75">
      <c r="A5" s="975" t="s">
        <v>9</v>
      </c>
      <c r="B5" s="975"/>
      <c r="C5" s="975"/>
      <c r="D5" s="975"/>
      <c r="E5" s="975"/>
      <c r="F5" s="975"/>
      <c r="G5" s="975"/>
      <c r="H5" s="66" t="s">
        <v>407</v>
      </c>
      <c r="I5" s="67" t="s">
        <v>408</v>
      </c>
      <c r="J5" s="67" t="s">
        <v>409</v>
      </c>
      <c r="K5" s="266" t="s">
        <v>410</v>
      </c>
      <c r="L5" s="177"/>
      <c r="M5" s="180" t="s">
        <v>411</v>
      </c>
      <c r="O5" s="226"/>
      <c r="P5" s="226"/>
    </row>
    <row r="6" spans="1:16" ht="12.75">
      <c r="A6" s="55"/>
      <c r="B6" s="55"/>
      <c r="C6" s="55"/>
      <c r="D6" s="206"/>
      <c r="E6" s="55"/>
      <c r="F6" s="55"/>
      <c r="G6" s="55"/>
      <c r="H6" s="68"/>
      <c r="I6" s="69"/>
      <c r="J6" s="69"/>
      <c r="K6" s="267"/>
      <c r="L6" s="181"/>
      <c r="M6" s="182"/>
      <c r="O6" s="69"/>
      <c r="P6" s="69"/>
    </row>
    <row r="7" spans="1:16" ht="38.25">
      <c r="A7" s="56"/>
      <c r="B7" s="57" t="s">
        <v>437</v>
      </c>
      <c r="C7" s="57" t="s">
        <v>438</v>
      </c>
      <c r="D7" s="207" t="s">
        <v>439</v>
      </c>
      <c r="E7" s="57"/>
      <c r="F7" s="57" t="s">
        <v>196</v>
      </c>
      <c r="G7" s="57" t="s">
        <v>440</v>
      </c>
      <c r="H7" s="70">
        <v>37621</v>
      </c>
      <c r="I7" s="10" t="s">
        <v>445</v>
      </c>
      <c r="J7" s="10" t="s">
        <v>216</v>
      </c>
      <c r="K7" s="265">
        <f>+F23</f>
        <v>2206.52</v>
      </c>
      <c r="L7" s="181"/>
      <c r="M7" s="178"/>
      <c r="P7" s="223"/>
    </row>
    <row r="8" spans="1:13" ht="12.75" hidden="1">
      <c r="A8" s="10"/>
      <c r="B8" s="10"/>
      <c r="C8" s="10"/>
      <c r="D8" s="208"/>
      <c r="E8" s="58"/>
      <c r="F8" s="58"/>
      <c r="G8" s="58"/>
      <c r="H8" s="65"/>
      <c r="I8" s="10" t="s">
        <v>224</v>
      </c>
      <c r="J8" s="10" t="s">
        <v>216</v>
      </c>
      <c r="K8" s="265">
        <f>+F29</f>
        <v>55.86</v>
      </c>
      <c r="L8" s="181"/>
      <c r="M8" s="178"/>
    </row>
    <row r="9" spans="1:16" ht="12.75" hidden="1">
      <c r="A9" s="10"/>
      <c r="B9" s="64"/>
      <c r="C9" s="64"/>
      <c r="D9" s="208"/>
      <c r="E9" s="58"/>
      <c r="F9" s="58"/>
      <c r="G9" s="58"/>
      <c r="H9" s="65"/>
      <c r="I9" s="10" t="s">
        <v>218</v>
      </c>
      <c r="J9" s="10" t="s">
        <v>216</v>
      </c>
      <c r="K9" s="265">
        <f>+F35</f>
        <v>51079.75</v>
      </c>
      <c r="L9" s="181"/>
      <c r="M9" s="178"/>
      <c r="P9" s="223"/>
    </row>
    <row r="10" spans="1:13" ht="12.75" hidden="1">
      <c r="A10" s="59"/>
      <c r="B10" s="63"/>
      <c r="C10" s="63"/>
      <c r="D10" s="219"/>
      <c r="E10" s="60"/>
      <c r="F10" s="60"/>
      <c r="G10" s="60"/>
      <c r="H10" s="65"/>
      <c r="I10" s="10" t="s">
        <v>0</v>
      </c>
      <c r="J10" s="10" t="s">
        <v>216</v>
      </c>
      <c r="K10" s="265">
        <f>+F41</f>
        <v>60568.8</v>
      </c>
      <c r="L10" s="181"/>
      <c r="M10" s="178"/>
    </row>
    <row r="11" spans="1:16" ht="12.75" hidden="1">
      <c r="A11" s="10"/>
      <c r="B11" s="212"/>
      <c r="C11" s="271"/>
      <c r="D11" s="208"/>
      <c r="E11" s="204"/>
      <c r="F11" s="282"/>
      <c r="G11" s="212"/>
      <c r="H11" s="65"/>
      <c r="I11" s="10" t="s">
        <v>225</v>
      </c>
      <c r="J11" s="10" t="s">
        <v>217</v>
      </c>
      <c r="K11" s="265">
        <f>+F30</f>
        <v>0</v>
      </c>
      <c r="L11" s="181"/>
      <c r="M11" s="178"/>
      <c r="P11" s="223"/>
    </row>
    <row r="12" spans="1:16" ht="12.75" hidden="1">
      <c r="A12" s="10"/>
      <c r="B12" s="212"/>
      <c r="C12" s="271"/>
      <c r="D12" s="208"/>
      <c r="E12" s="204"/>
      <c r="F12" s="284"/>
      <c r="G12" s="212"/>
      <c r="H12" s="65"/>
      <c r="I12" s="10" t="s">
        <v>29</v>
      </c>
      <c r="J12" s="10" t="s">
        <v>217</v>
      </c>
      <c r="K12" s="265">
        <f>+F36</f>
        <v>2606.21</v>
      </c>
      <c r="L12" s="181"/>
      <c r="M12" s="178"/>
      <c r="P12" s="223"/>
    </row>
    <row r="13" spans="1:13" ht="12.75" hidden="1">
      <c r="A13" s="10"/>
      <c r="B13" s="212"/>
      <c r="C13" s="272"/>
      <c r="D13" s="208"/>
      <c r="E13" s="204"/>
      <c r="F13" s="284"/>
      <c r="G13" s="212"/>
      <c r="H13" s="65"/>
      <c r="I13" s="10" t="s">
        <v>1</v>
      </c>
      <c r="J13" s="10" t="s">
        <v>217</v>
      </c>
      <c r="K13" s="265">
        <f>+F42</f>
        <v>23392.86</v>
      </c>
      <c r="L13" s="181"/>
      <c r="M13" s="178"/>
    </row>
    <row r="14" spans="2:16" ht="12.75" hidden="1">
      <c r="B14" s="174"/>
      <c r="C14" s="273"/>
      <c r="D14" s="208"/>
      <c r="E14" s="214"/>
      <c r="F14" s="283"/>
      <c r="G14" s="214"/>
      <c r="H14" s="65"/>
      <c r="I14" s="10" t="s">
        <v>219</v>
      </c>
      <c r="J14" s="10" t="s">
        <v>192</v>
      </c>
      <c r="K14" s="265">
        <f>+F37</f>
        <v>0</v>
      </c>
      <c r="L14" s="234"/>
      <c r="M14" s="235"/>
      <c r="P14" s="223"/>
    </row>
    <row r="15" spans="2:13" ht="12.75">
      <c r="B15" s="175"/>
      <c r="C15" s="274"/>
      <c r="D15" s="219"/>
      <c r="E15" s="204"/>
      <c r="F15" s="277"/>
      <c r="G15" s="204"/>
      <c r="H15" s="65"/>
      <c r="I15" s="10"/>
      <c r="J15" s="10"/>
      <c r="K15" s="265"/>
      <c r="L15" s="181"/>
      <c r="M15" s="178"/>
    </row>
    <row r="16" spans="1:13" ht="12.75">
      <c r="A16" s="59" t="s">
        <v>234</v>
      </c>
      <c r="B16" s="175"/>
      <c r="C16" s="175"/>
      <c r="D16" s="219"/>
      <c r="E16" s="204"/>
      <c r="F16" s="277"/>
      <c r="G16" s="204"/>
      <c r="H16" s="65"/>
      <c r="I16" s="10"/>
      <c r="J16" s="10"/>
      <c r="K16" s="265"/>
      <c r="L16" s="181"/>
      <c r="M16" s="178"/>
    </row>
    <row r="17" spans="1:13" ht="12.75">
      <c r="A17" s="10" t="s">
        <v>441</v>
      </c>
      <c r="B17" s="212">
        <f>+'[1]TB3-31-04 (Pre)'!G469</f>
        <v>0</v>
      </c>
      <c r="C17" s="212">
        <f>SUM('[1]TB03-31-04(Final)'!F361:F364)</f>
        <v>0</v>
      </c>
      <c r="D17" s="751" t="e">
        <f>C17/C20</f>
        <v>#DIV/0!</v>
      </c>
      <c r="E17" s="204"/>
      <c r="F17" s="275" t="e">
        <f>SUM('[1]TB03-31-04(Final)'!F523:F524)</f>
        <v>#REF!</v>
      </c>
      <c r="G17" s="212" t="e">
        <f>+B17+F17</f>
        <v>#REF!</v>
      </c>
      <c r="H17" s="237" t="s">
        <v>10</v>
      </c>
      <c r="I17" s="10" t="s">
        <v>447</v>
      </c>
      <c r="J17" s="10" t="s">
        <v>448</v>
      </c>
      <c r="K17" s="265"/>
      <c r="L17" s="177"/>
      <c r="M17" s="178">
        <f>SUM(K7:K17)+0.01</f>
        <v>139910.01</v>
      </c>
    </row>
    <row r="18" spans="1:16" ht="12.75">
      <c r="A18" s="10" t="s">
        <v>442</v>
      </c>
      <c r="B18" s="212" t="e">
        <f>+'[1]TB03-31-04(Final)'!F469+'[1]TB03-31-04(Final)'!F470</f>
        <v>#REF!</v>
      </c>
      <c r="C18" s="212">
        <f>SUM('[1]TB03-31-04(Final)'!F370:F372)</f>
        <v>0</v>
      </c>
      <c r="D18" s="751" t="e">
        <f>C18/C20</f>
        <v>#DIV/0!</v>
      </c>
      <c r="E18" s="204"/>
      <c r="F18" s="275" t="e">
        <f>SUM('[1]TB03-31-04(Final)'!F530:F531)</f>
        <v>#REF!</v>
      </c>
      <c r="G18" s="212" t="e">
        <f>+B18+F18</f>
        <v>#REF!</v>
      </c>
      <c r="H18" s="237" t="s">
        <v>11</v>
      </c>
      <c r="I18" s="10"/>
      <c r="J18" s="10"/>
      <c r="K18" s="265"/>
      <c r="L18" s="177"/>
      <c r="M18" s="178"/>
      <c r="P18" s="223"/>
    </row>
    <row r="19" spans="1:13" ht="12.75">
      <c r="A19" s="10" t="s">
        <v>387</v>
      </c>
      <c r="B19" s="212">
        <v>0</v>
      </c>
      <c r="C19" s="213">
        <v>0</v>
      </c>
      <c r="D19" s="751" t="e">
        <f>C19/C20</f>
        <v>#DIV/0!</v>
      </c>
      <c r="E19" s="204"/>
      <c r="F19" s="275">
        <v>0</v>
      </c>
      <c r="G19" s="212">
        <v>0</v>
      </c>
      <c r="H19" s="65"/>
      <c r="I19" s="10"/>
      <c r="J19" s="10"/>
      <c r="K19" s="265"/>
      <c r="L19" s="177"/>
      <c r="M19" s="178"/>
    </row>
    <row r="20" spans="1:17" ht="13.5" thickBot="1">
      <c r="A20" s="8" t="s">
        <v>400</v>
      </c>
      <c r="B20" s="174" t="e">
        <f>SUM(B17:B19)</f>
        <v>#REF!</v>
      </c>
      <c r="C20" s="174">
        <f>SUM(C17:C19)</f>
        <v>0</v>
      </c>
      <c r="D20" s="749">
        <f>C20/$C$49</f>
        <v>0</v>
      </c>
      <c r="E20" s="214"/>
      <c r="F20" s="276" t="e">
        <f>SUM(F17:F19)</f>
        <v>#REF!</v>
      </c>
      <c r="G20" s="214" t="e">
        <f>SUM(G17:G19)</f>
        <v>#REF!</v>
      </c>
      <c r="H20" s="66" t="s">
        <v>412</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441</v>
      </c>
      <c r="B23" s="175">
        <f>+'[1]TB3-31-04 (Pre)'!F470</f>
        <v>980.5</v>
      </c>
      <c r="C23" s="212">
        <f>+'[1]TB3-31-04 (Pre)'!F362</f>
        <v>59250</v>
      </c>
      <c r="D23" s="749">
        <f>C23/C26</f>
        <v>1</v>
      </c>
      <c r="E23" s="204"/>
      <c r="F23" s="275">
        <f>+'[1]TB3-31-04 (Pre)'!F517</f>
        <v>2206.52</v>
      </c>
      <c r="G23" s="212">
        <f>B23+F23</f>
        <v>3187.02</v>
      </c>
      <c r="H23" s="66" t="s">
        <v>413</v>
      </c>
      <c r="I23" s="67" t="s">
        <v>193</v>
      </c>
      <c r="J23" s="67"/>
      <c r="K23" s="265"/>
      <c r="L23" s="177"/>
      <c r="M23" s="178" t="s">
        <v>258</v>
      </c>
      <c r="O23" s="53"/>
    </row>
    <row r="24" spans="1:16" ht="12.75">
      <c r="A24" s="10" t="s">
        <v>442</v>
      </c>
      <c r="B24" s="212">
        <f>+'[1]TB03-31-04(Final)'!F471</f>
        <v>0</v>
      </c>
      <c r="C24" s="212">
        <f>+'[1]TB3-31-04 (Pre)'!F370</f>
        <v>0</v>
      </c>
      <c r="D24" s="749">
        <f>C24/C26</f>
        <v>0</v>
      </c>
      <c r="E24" s="204"/>
      <c r="F24" s="275">
        <f>+'[1]TB03-31-04(Final)'!F532</f>
        <v>0</v>
      </c>
      <c r="G24" s="212">
        <f>B24+F24</f>
        <v>0</v>
      </c>
      <c r="H24" s="66" t="s">
        <v>451</v>
      </c>
      <c r="I24" s="67" t="s">
        <v>453</v>
      </c>
      <c r="J24" s="67"/>
      <c r="K24" s="265"/>
      <c r="L24" s="177"/>
      <c r="M24" s="178"/>
      <c r="O24" s="228"/>
      <c r="P24" s="229"/>
    </row>
    <row r="25" spans="1:16" ht="12.75">
      <c r="A25" s="10" t="s">
        <v>387</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400</v>
      </c>
      <c r="B26" s="174">
        <f>SUM(B23:B25)</f>
        <v>605.69</v>
      </c>
      <c r="C26" s="174">
        <f>SUM(C23:C25)</f>
        <v>59250</v>
      </c>
      <c r="D26" s="749">
        <f>C26/$C$49</f>
        <v>0.015765811858006993</v>
      </c>
      <c r="E26" s="214"/>
      <c r="F26" s="276">
        <f>SUM(F23:F25)</f>
        <v>2206.52</v>
      </c>
      <c r="G26" s="214">
        <f>SUM(G23:G25)</f>
        <v>2812.21</v>
      </c>
      <c r="H26" s="66" t="s">
        <v>414</v>
      </c>
      <c r="I26" s="72"/>
      <c r="J26" s="72"/>
      <c r="K26" s="265"/>
      <c r="L26" s="177"/>
      <c r="M26" s="178"/>
      <c r="O26" s="53"/>
    </row>
    <row r="27" spans="2:13" ht="12.75">
      <c r="B27" s="175"/>
      <c r="C27" s="175"/>
      <c r="D27" s="752"/>
      <c r="E27" s="204"/>
      <c r="F27" s="277"/>
      <c r="G27" s="204"/>
      <c r="H27" s="66"/>
      <c r="I27" s="67" t="s">
        <v>189</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441</v>
      </c>
      <c r="B29" s="175">
        <f>+'[1]TB3-31-04 (Pre)'!F471</f>
        <v>728.14</v>
      </c>
      <c r="C29" s="212">
        <f>+'[1]TB3-31-04 (Pre)'!F363</f>
        <v>1500</v>
      </c>
      <c r="D29" s="749">
        <f>C29/C32</f>
        <v>1</v>
      </c>
      <c r="E29" s="204"/>
      <c r="F29" s="275">
        <f>+'[1]TB3-31-04 (Pre)'!F518</f>
        <v>55.86</v>
      </c>
      <c r="G29" s="212">
        <f>B29+F29</f>
        <v>784</v>
      </c>
      <c r="H29" s="66" t="s">
        <v>59</v>
      </c>
      <c r="I29" s="72"/>
      <c r="J29" s="72"/>
      <c r="K29" s="266" t="s">
        <v>407</v>
      </c>
      <c r="L29" s="179"/>
      <c r="M29" s="178"/>
    </row>
    <row r="30" spans="1:13" ht="12.75">
      <c r="A30" s="10" t="s">
        <v>442</v>
      </c>
      <c r="B30" s="212">
        <f>+'[1]TB3-31-04 (Pre)'!F478</f>
        <v>254</v>
      </c>
      <c r="C30" s="212">
        <f>+'[1]TB3-31-04 (Pre)'!F371</f>
        <v>0</v>
      </c>
      <c r="D30" s="749">
        <f>C30/C32</f>
        <v>0</v>
      </c>
      <c r="E30" s="204"/>
      <c r="F30" s="275">
        <f>+'[1]TB3-31-04 (Pre)'!F525</f>
        <v>0</v>
      </c>
      <c r="G30" s="212">
        <f>B30+F30</f>
        <v>254</v>
      </c>
      <c r="H30" s="66"/>
      <c r="I30" s="67" t="s">
        <v>449</v>
      </c>
      <c r="J30" s="67"/>
      <c r="K30" s="266"/>
      <c r="L30" s="179"/>
      <c r="M30" s="178"/>
    </row>
    <row r="31" spans="1:13" ht="12.75">
      <c r="A31" s="10" t="s">
        <v>387</v>
      </c>
      <c r="B31" s="213">
        <v>0</v>
      </c>
      <c r="C31" s="213">
        <v>0</v>
      </c>
      <c r="D31" s="749">
        <f>C31/C32</f>
        <v>0</v>
      </c>
      <c r="E31" s="204"/>
      <c r="F31" s="275">
        <f>+'[1]TB03-31-04(Final)'!F548</f>
        <v>1047.62</v>
      </c>
      <c r="G31" s="212">
        <f>F31+B31</f>
        <v>1047.62</v>
      </c>
      <c r="H31" s="66"/>
      <c r="I31" s="67"/>
      <c r="J31" s="67"/>
      <c r="K31" s="266"/>
      <c r="L31" s="179"/>
      <c r="M31" s="178"/>
    </row>
    <row r="32" spans="1:13" ht="13.5" thickBot="1">
      <c r="A32" s="8" t="s">
        <v>400</v>
      </c>
      <c r="B32" s="174">
        <f>SUM(B29:B31)</f>
        <v>982.14</v>
      </c>
      <c r="C32" s="174">
        <f>SUM(C29:C31)</f>
        <v>1500</v>
      </c>
      <c r="D32" s="749">
        <f>C32/$C$49</f>
        <v>0.00039913447741789855</v>
      </c>
      <c r="E32" s="214"/>
      <c r="F32" s="276">
        <f>SUM(F29:F31)</f>
        <v>1103.4799999999998</v>
      </c>
      <c r="G32" s="214">
        <f>SUM(G29:G31)</f>
        <v>2085.62</v>
      </c>
      <c r="H32" s="66" t="s">
        <v>415</v>
      </c>
      <c r="I32" s="72"/>
      <c r="J32" s="72"/>
      <c r="K32" s="266"/>
      <c r="L32" s="179"/>
      <c r="M32" s="178"/>
    </row>
    <row r="33" spans="2:13" ht="12.75">
      <c r="B33" s="175"/>
      <c r="C33" s="175"/>
      <c r="D33" s="752"/>
      <c r="E33" s="204"/>
      <c r="F33" s="277"/>
      <c r="G33" s="204"/>
      <c r="H33" s="66"/>
      <c r="I33" s="67" t="s">
        <v>416</v>
      </c>
      <c r="J33" s="67"/>
      <c r="K33" s="266"/>
      <c r="L33" s="179"/>
      <c r="M33" s="178"/>
    </row>
    <row r="34" spans="1:13" ht="12.75">
      <c r="A34" s="59">
        <v>2002</v>
      </c>
      <c r="B34" s="175"/>
      <c r="C34" s="175"/>
      <c r="D34" s="752"/>
      <c r="E34" s="204"/>
      <c r="F34" s="277"/>
      <c r="G34" s="204"/>
      <c r="H34" s="66"/>
      <c r="I34" s="67"/>
      <c r="J34" s="67"/>
      <c r="K34" s="266"/>
      <c r="L34" s="179" t="s">
        <v>418</v>
      </c>
      <c r="M34" s="178"/>
    </row>
    <row r="35" spans="1:13" ht="13.5" thickBot="1">
      <c r="A35" s="10" t="s">
        <v>441</v>
      </c>
      <c r="B35" s="175">
        <f>+'[1]TB3-31-04 (Pre)'!F472</f>
        <v>40871.79</v>
      </c>
      <c r="C35" s="212">
        <f>+'[1]TB3-31-04 (Pre)'!F364</f>
        <v>1371608.06</v>
      </c>
      <c r="D35" s="749">
        <f>C35/C38</f>
        <v>0.9514546164884548</v>
      </c>
      <c r="E35" s="215"/>
      <c r="F35" s="275">
        <f>+'[1]TB3-31-04 (Pre)'!F519</f>
        <v>51079.75</v>
      </c>
      <c r="G35" s="212">
        <f>B35+F35</f>
        <v>91951.54000000001</v>
      </c>
      <c r="H35" s="66" t="s">
        <v>417</v>
      </c>
      <c r="I35" s="72"/>
      <c r="J35" s="72"/>
      <c r="K35" s="266"/>
      <c r="L35" s="179"/>
      <c r="M35" s="178"/>
    </row>
    <row r="36" spans="1:13" ht="13.5" thickBot="1">
      <c r="A36" s="10" t="s">
        <v>442</v>
      </c>
      <c r="B36" s="212">
        <f>+'[1]TB3-31-04 (Pre)'!F479</f>
        <v>36651.02</v>
      </c>
      <c r="C36" s="212">
        <f>+'[1]TB3-31-04 (Pre)'!F372</f>
        <v>69982.57</v>
      </c>
      <c r="D36" s="749">
        <f>C36/C38</f>
        <v>0.04854538351154516</v>
      </c>
      <c r="E36" s="215"/>
      <c r="F36" s="275">
        <f>+'[1]TB3-31-04 (Pre)'!F526</f>
        <v>2606.21</v>
      </c>
      <c r="G36" s="212">
        <f>B36+F36</f>
        <v>39257.229999999996</v>
      </c>
      <c r="H36" s="73"/>
      <c r="I36" s="72" t="s">
        <v>227</v>
      </c>
      <c r="J36" s="72"/>
      <c r="K36" s="268"/>
      <c r="L36" s="185"/>
      <c r="M36" s="186"/>
    </row>
    <row r="37" spans="1:10" ht="12.75">
      <c r="A37" s="10" t="s">
        <v>387</v>
      </c>
      <c r="B37" s="213">
        <f>+'[1]TB03-31-04(Final)'!F479</f>
        <v>0</v>
      </c>
      <c r="C37" s="213">
        <f>+'[1]TB3-31-04 (Pre)'!F379</f>
        <v>0</v>
      </c>
      <c r="D37" s="749">
        <f>C37/C38</f>
        <v>0</v>
      </c>
      <c r="E37" s="215"/>
      <c r="F37" s="275">
        <f>+'[1]TB03-31-04(Final)'!F540</f>
        <v>0</v>
      </c>
      <c r="G37" s="212">
        <f>F37+B37</f>
        <v>0</v>
      </c>
      <c r="H37" s="8"/>
      <c r="I37" s="8"/>
      <c r="J37" s="8"/>
    </row>
    <row r="38" spans="1:10" ht="12.75">
      <c r="A38" s="8" t="s">
        <v>400</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441</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442</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387</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400</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443</v>
      </c>
      <c r="B45" s="175"/>
      <c r="C45" s="175"/>
      <c r="D45" s="752"/>
      <c r="E45" s="204"/>
      <c r="F45" s="277"/>
      <c r="G45" s="204"/>
      <c r="H45" s="8"/>
      <c r="I45" s="8"/>
      <c r="J45" s="8"/>
    </row>
    <row r="46" spans="1:7" ht="12.75">
      <c r="A46" s="67" t="s">
        <v>441</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442</v>
      </c>
      <c r="B47" s="217" t="e">
        <f t="shared" si="0"/>
        <v>#REF!</v>
      </c>
      <c r="C47" s="217">
        <f t="shared" si="0"/>
        <v>698134.3500000001</v>
      </c>
      <c r="D47" s="750">
        <f>C47/C49</f>
        <v>0.1857663259698229</v>
      </c>
      <c r="E47" s="217"/>
      <c r="F47" s="278" t="e">
        <f>+F18+F24+F30+F36+F42</f>
        <v>#REF!</v>
      </c>
      <c r="G47" s="217" t="e">
        <f>B47+F47</f>
        <v>#REF!</v>
      </c>
    </row>
    <row r="48" spans="1:7" ht="12.75">
      <c r="A48" s="67" t="s">
        <v>387</v>
      </c>
      <c r="B48" s="217">
        <f t="shared" si="0"/>
        <v>-374.81</v>
      </c>
      <c r="C48" s="217">
        <f t="shared" si="0"/>
        <v>1229</v>
      </c>
      <c r="D48" s="750">
        <f>C48/C49</f>
        <v>0.0003270241818310649</v>
      </c>
      <c r="E48" s="217"/>
      <c r="F48" s="278">
        <f>+F43+F37+F31+F25+F19</f>
        <v>1093.3899999999999</v>
      </c>
      <c r="G48" s="217">
        <f>B48+F48</f>
        <v>718.5799999999999</v>
      </c>
    </row>
    <row r="49" spans="1:7" ht="13.5" thickBot="1">
      <c r="A49" s="94" t="s">
        <v>400</v>
      </c>
      <c r="B49" s="305" t="e">
        <f>SUM(B46:B48)</f>
        <v>#REF!</v>
      </c>
      <c r="C49" s="305">
        <f>SUM(C46:C48)</f>
        <v>3758131.87</v>
      </c>
      <c r="D49" s="750">
        <f>C49/$C$49</f>
        <v>1</v>
      </c>
      <c r="E49" s="305"/>
      <c r="F49" s="306" t="e">
        <f>SUM(F46:F48)</f>
        <v>#REF!</v>
      </c>
      <c r="G49" s="305" t="e">
        <f>B49+F49</f>
        <v>#REF!</v>
      </c>
    </row>
    <row r="50" spans="1:15" s="578" customFormat="1" ht="13.5" thickTop="1">
      <c r="A50" s="574" t="s">
        <v>191</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42</v>
      </c>
      <c r="B52" s="300"/>
      <c r="C52" s="300"/>
      <c r="D52" s="209"/>
      <c r="E52" s="175"/>
      <c r="F52" s="218"/>
      <c r="G52" s="175"/>
    </row>
    <row r="53" spans="1:7" ht="25.5">
      <c r="A53" s="62" t="s">
        <v>444</v>
      </c>
      <c r="B53" s="176"/>
      <c r="C53" s="176"/>
      <c r="D53" s="210"/>
      <c r="E53" s="204"/>
      <c r="F53" s="297">
        <v>495387.39</v>
      </c>
      <c r="G53" s="204"/>
    </row>
    <row r="55" spans="1:6" ht="12.75">
      <c r="A55" s="118" t="s">
        <v>186</v>
      </c>
      <c r="B55" s="123">
        <v>51200</v>
      </c>
      <c r="C55" s="124">
        <v>51100</v>
      </c>
      <c r="D55" s="220"/>
      <c r="E55" s="125"/>
      <c r="F55" s="125" t="s">
        <v>188</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88" t="s">
        <v>77</v>
      </c>
      <c r="B2" s="988"/>
      <c r="C2" s="988"/>
      <c r="D2" s="988"/>
      <c r="E2" s="988"/>
      <c r="F2" s="988"/>
      <c r="G2" s="988"/>
      <c r="H2" s="988"/>
      <c r="I2" s="988"/>
      <c r="J2" s="988"/>
    </row>
    <row r="3" spans="1:7" ht="19.5" customHeight="1">
      <c r="A3" s="243"/>
      <c r="B3" s="244"/>
      <c r="C3" s="244"/>
      <c r="E3" s="244"/>
      <c r="F3" s="244"/>
      <c r="G3" s="244"/>
    </row>
    <row r="4" spans="1:10" ht="19.5" customHeight="1">
      <c r="A4" s="989" t="s">
        <v>78</v>
      </c>
      <c r="B4" s="989"/>
      <c r="C4" s="989"/>
      <c r="D4" s="989"/>
      <c r="E4" s="989"/>
      <c r="F4" s="989"/>
      <c r="G4" s="989"/>
      <c r="H4" s="989"/>
      <c r="I4" s="989"/>
      <c r="J4" s="989"/>
    </row>
    <row r="5" ht="19.5" customHeight="1">
      <c r="B5" s="9"/>
    </row>
    <row r="6" spans="2:10" ht="19.5" customHeight="1">
      <c r="B6" s="990" t="s">
        <v>423</v>
      </c>
      <c r="C6" s="990"/>
      <c r="D6" s="990"/>
      <c r="E6" s="6"/>
      <c r="F6" s="6"/>
      <c r="G6" s="6"/>
      <c r="H6" s="141" t="s">
        <v>424</v>
      </c>
      <c r="I6" s="141"/>
      <c r="J6" s="140"/>
    </row>
    <row r="7" spans="2:10" ht="19.5" customHeight="1" thickBot="1">
      <c r="B7" s="991" t="s">
        <v>79</v>
      </c>
      <c r="C7" s="991"/>
      <c r="D7" s="991"/>
      <c r="E7" s="248"/>
      <c r="F7" s="248"/>
      <c r="G7" s="248"/>
      <c r="H7" s="991" t="s">
        <v>79</v>
      </c>
      <c r="I7" s="991"/>
      <c r="J7" s="991"/>
    </row>
    <row r="8" spans="2:10" ht="19.5" customHeight="1" thickBot="1">
      <c r="B8" s="245">
        <v>2002</v>
      </c>
      <c r="C8" s="139"/>
      <c r="D8" s="245">
        <v>2001</v>
      </c>
      <c r="E8" s="139"/>
      <c r="F8" s="359" t="s">
        <v>215</v>
      </c>
      <c r="G8" s="139"/>
      <c r="H8" s="245">
        <v>2002</v>
      </c>
      <c r="I8" s="139"/>
      <c r="J8" s="245">
        <v>2001</v>
      </c>
    </row>
    <row r="9" spans="1:9" ht="19.5" customHeight="1">
      <c r="A9" s="14"/>
      <c r="B9" s="112"/>
      <c r="C9" s="112"/>
      <c r="D9" s="14"/>
      <c r="E9" s="130"/>
      <c r="F9" s="130"/>
      <c r="G9" s="130"/>
      <c r="I9" s="45"/>
    </row>
    <row r="10" spans="1:10" ht="19.5" customHeight="1">
      <c r="A10" s="95" t="s">
        <v>80</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81</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82</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83</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84</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253</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85</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141</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86</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87</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88</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38" t="s">
        <v>248</v>
      </c>
      <c r="B1" s="938"/>
      <c r="C1" s="938"/>
      <c r="D1" s="938"/>
      <c r="E1" s="938"/>
      <c r="F1" s="938"/>
      <c r="G1" s="938"/>
      <c r="H1" s="938"/>
      <c r="I1" s="938"/>
      <c r="J1" s="938"/>
      <c r="K1" s="938"/>
      <c r="L1" s="938"/>
      <c r="M1" s="938"/>
      <c r="N1" s="938"/>
      <c r="O1" s="938"/>
      <c r="P1" s="938"/>
      <c r="Q1" s="938"/>
      <c r="R1" s="938"/>
      <c r="S1" s="938"/>
      <c r="T1" s="938"/>
    </row>
    <row r="2" ht="7.5" customHeight="1"/>
    <row r="3" spans="1:20" ht="19.5">
      <c r="A3" s="938" t="s">
        <v>114</v>
      </c>
      <c r="B3" s="938"/>
      <c r="C3" s="938"/>
      <c r="D3" s="938"/>
      <c r="E3" s="938"/>
      <c r="F3" s="938"/>
      <c r="G3" s="938"/>
      <c r="H3" s="938"/>
      <c r="I3" s="938"/>
      <c r="J3" s="938"/>
      <c r="K3" s="938"/>
      <c r="L3" s="938"/>
      <c r="M3" s="938"/>
      <c r="N3" s="938"/>
      <c r="O3" s="938"/>
      <c r="P3" s="938"/>
      <c r="Q3" s="938"/>
      <c r="R3" s="938"/>
      <c r="S3" s="938"/>
      <c r="T3" s="938"/>
    </row>
    <row r="4" spans="2:9" ht="8.25" customHeight="1">
      <c r="B4" s="642"/>
      <c r="C4" s="648"/>
      <c r="D4" s="642"/>
      <c r="E4" s="642"/>
      <c r="F4" s="648"/>
      <c r="G4" s="642"/>
      <c r="H4" s="642"/>
      <c r="I4" s="642"/>
    </row>
    <row r="5" spans="1:20" ht="19.5">
      <c r="A5" s="938" t="s">
        <v>5</v>
      </c>
      <c r="B5" s="938"/>
      <c r="C5" s="938"/>
      <c r="D5" s="938"/>
      <c r="E5" s="938"/>
      <c r="F5" s="938"/>
      <c r="G5" s="938"/>
      <c r="H5" s="938"/>
      <c r="I5" s="938"/>
      <c r="J5" s="938"/>
      <c r="K5" s="938"/>
      <c r="L5" s="938"/>
      <c r="M5" s="938"/>
      <c r="N5" s="938"/>
      <c r="O5" s="938"/>
      <c r="P5" s="938"/>
      <c r="Q5" s="938"/>
      <c r="R5" s="938"/>
      <c r="S5" s="938"/>
      <c r="T5" s="938"/>
    </row>
    <row r="6" spans="7:9" ht="12.75">
      <c r="G6" s="940" t="s">
        <v>229</v>
      </c>
      <c r="H6" s="940"/>
      <c r="I6" s="940"/>
    </row>
    <row r="7" spans="4:17" ht="12.75">
      <c r="D7" s="939" t="s">
        <v>131</v>
      </c>
      <c r="E7" s="939"/>
      <c r="F7" s="939"/>
      <c r="J7" s="939" t="s">
        <v>110</v>
      </c>
      <c r="K7" s="939"/>
      <c r="L7" s="939"/>
      <c r="M7" s="939"/>
      <c r="N7" s="939"/>
      <c r="O7" s="939"/>
      <c r="P7" s="939"/>
      <c r="Q7" s="939"/>
    </row>
    <row r="8" spans="4:18" ht="12.75">
      <c r="D8" s="661" t="s">
        <v>159</v>
      </c>
      <c r="E8" s="665" t="s">
        <v>160</v>
      </c>
      <c r="F8" s="939" t="s">
        <v>111</v>
      </c>
      <c r="G8" s="939"/>
      <c r="H8" s="939"/>
      <c r="I8" s="939"/>
      <c r="J8" s="939"/>
      <c r="K8" s="939"/>
      <c r="L8" s="939"/>
      <c r="P8" s="665"/>
      <c r="Q8" s="665"/>
      <c r="R8" s="665" t="s">
        <v>331</v>
      </c>
    </row>
    <row r="9" spans="2:20" ht="13.5" thickBot="1">
      <c r="B9" s="666" t="s">
        <v>7</v>
      </c>
      <c r="C9" s="656"/>
      <c r="D9" s="664" t="s">
        <v>158</v>
      </c>
      <c r="E9" s="666" t="s">
        <v>158</v>
      </c>
      <c r="F9" s="937" t="s">
        <v>2</v>
      </c>
      <c r="G9" s="937" t="s">
        <v>158</v>
      </c>
      <c r="H9" s="937" t="s">
        <v>158</v>
      </c>
      <c r="I9" s="937"/>
      <c r="J9" s="937" t="s">
        <v>158</v>
      </c>
      <c r="K9" s="937" t="s">
        <v>158</v>
      </c>
      <c r="L9" s="666" t="s">
        <v>3</v>
      </c>
      <c r="P9" s="666"/>
      <c r="Q9" s="653"/>
      <c r="R9" s="666" t="s">
        <v>64</v>
      </c>
      <c r="S9" s="692" t="s">
        <v>16</v>
      </c>
      <c r="T9" s="666" t="s">
        <v>17</v>
      </c>
    </row>
    <row r="10" spans="2:19" ht="12.75">
      <c r="B10" s="661"/>
      <c r="I10" s="358"/>
      <c r="S10" s="699"/>
    </row>
    <row r="11" spans="1:19" ht="12.75">
      <c r="A11" t="s">
        <v>315</v>
      </c>
      <c r="B11" s="661" t="s">
        <v>161</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112</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316</v>
      </c>
      <c r="B15" s="661" t="s">
        <v>90</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214</v>
      </c>
    </row>
    <row r="16" spans="2:19" ht="12.75">
      <c r="B16" s="661"/>
      <c r="C16" s="658"/>
      <c r="D16" s="659"/>
      <c r="E16" s="659"/>
      <c r="F16" s="672"/>
      <c r="G16" s="673"/>
      <c r="H16" s="673"/>
      <c r="I16" s="674"/>
      <c r="L16" s="672"/>
      <c r="Q16" s="655">
        <f t="shared" si="1"/>
        <v>0</v>
      </c>
      <c r="R16" s="661"/>
      <c r="S16" s="696"/>
    </row>
    <row r="17" spans="1:19" ht="12.75">
      <c r="A17" t="s">
        <v>317</v>
      </c>
      <c r="B17" s="661" t="s">
        <v>162</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318</v>
      </c>
      <c r="B19" s="661" t="s">
        <v>163</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319</v>
      </c>
      <c r="B21" s="661" t="s">
        <v>116</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115</v>
      </c>
    </row>
    <row r="22" spans="2:19" ht="12.75">
      <c r="B22" s="661" t="s">
        <v>117</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320</v>
      </c>
      <c r="B25" s="661" t="s">
        <v>23</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125</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321</v>
      </c>
      <c r="B27" s="661" t="s">
        <v>164</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165</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166</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322</v>
      </c>
      <c r="B31" s="661" t="s">
        <v>422</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63</v>
      </c>
      <c r="C32" s="658"/>
      <c r="D32" s="659"/>
      <c r="E32" s="659"/>
      <c r="F32" s="672"/>
      <c r="G32" s="673"/>
      <c r="H32" s="673"/>
      <c r="I32" s="674"/>
      <c r="J32" s="683"/>
      <c r="L32" s="672">
        <f t="shared" si="2"/>
        <v>0</v>
      </c>
      <c r="Q32" s="655">
        <f t="shared" si="1"/>
        <v>0</v>
      </c>
      <c r="R32" s="661">
        <f t="shared" si="3"/>
        <v>0</v>
      </c>
      <c r="S32" s="696"/>
      <c r="T32" s="358">
        <v>22601.24</v>
      </c>
    </row>
    <row r="33" spans="2:20" ht="12.75">
      <c r="B33" s="659" t="s">
        <v>62</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122</v>
      </c>
    </row>
    <row r="35" spans="1:20" ht="12.75">
      <c r="A35" t="s">
        <v>323</v>
      </c>
      <c r="B35" s="661" t="s">
        <v>140</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126</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324</v>
      </c>
      <c r="B37" s="661" t="s">
        <v>168</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325</v>
      </c>
      <c r="B39" s="661" t="s">
        <v>169</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326</v>
      </c>
      <c r="B41" s="661" t="s">
        <v>170</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327</v>
      </c>
      <c r="B43" s="661" t="s">
        <v>179</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328</v>
      </c>
      <c r="B45" s="661" t="s">
        <v>22</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329</v>
      </c>
      <c r="B50" s="661" t="s">
        <v>181</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330</v>
      </c>
      <c r="B52" s="661" t="s">
        <v>171</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102</v>
      </c>
      <c r="B54" s="661" t="s">
        <v>24</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127</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121</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103</v>
      </c>
      <c r="B58" s="732" t="s">
        <v>113</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104</v>
      </c>
      <c r="B59" s="661" t="s">
        <v>172</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124</v>
      </c>
    </row>
    <row r="60" spans="2:19" ht="12.75">
      <c r="B60" s="644"/>
      <c r="C60" s="659"/>
      <c r="D60" s="673"/>
      <c r="E60" s="673"/>
      <c r="F60" s="675"/>
      <c r="G60" s="673"/>
      <c r="H60" s="673"/>
      <c r="I60" s="674"/>
      <c r="J60" s="681" t="s">
        <v>89</v>
      </c>
      <c r="L60" s="703"/>
      <c r="R60" s="652">
        <f t="shared" si="3"/>
        <v>0</v>
      </c>
      <c r="S60" s="699"/>
    </row>
    <row r="61" spans="1:19" ht="12.75">
      <c r="A61" t="s">
        <v>105</v>
      </c>
      <c r="B61" s="59" t="s">
        <v>173</v>
      </c>
      <c r="C61" s="662"/>
      <c r="D61" s="673"/>
      <c r="E61" s="673"/>
      <c r="F61" s="703"/>
      <c r="G61" s="704"/>
      <c r="H61" s="704"/>
      <c r="I61" s="705"/>
      <c r="L61" s="703"/>
      <c r="R61" s="652">
        <f t="shared" si="3"/>
        <v>0</v>
      </c>
      <c r="S61" s="699"/>
    </row>
    <row r="62" spans="2:19" ht="12.75">
      <c r="B62" s="659" t="s">
        <v>174</v>
      </c>
      <c r="C62" s="659"/>
      <c r="D62" s="674">
        <f>+'[1]TB03-31-04(Final)'!Z790</f>
        <v>289.58</v>
      </c>
      <c r="E62" s="675">
        <v>0</v>
      </c>
      <c r="F62" s="703">
        <f>SUM(D62:E62)</f>
        <v>289.58</v>
      </c>
      <c r="G62" s="704"/>
      <c r="H62" s="704"/>
      <c r="I62" s="705"/>
      <c r="L62" s="703"/>
      <c r="R62" s="652">
        <f t="shared" si="3"/>
        <v>289.58</v>
      </c>
      <c r="S62" s="699"/>
    </row>
    <row r="63" spans="2:19" ht="12.75">
      <c r="B63" s="659" t="s">
        <v>175</v>
      </c>
      <c r="C63" s="659"/>
      <c r="D63" s="674" t="e">
        <f>+'[1]TB03-31-04(Final)'!D991</f>
        <v>#REF!</v>
      </c>
      <c r="E63" s="674">
        <f>+'[1]TB03-31-04(Final)'!E994</f>
        <v>0</v>
      </c>
      <c r="F63" s="703" t="e">
        <f>SUM(D63:E63)</f>
        <v>#REF!</v>
      </c>
      <c r="G63" s="704"/>
      <c r="H63" s="704"/>
      <c r="I63" s="705"/>
      <c r="L63" s="703"/>
      <c r="R63" s="652" t="e">
        <f t="shared" si="3"/>
        <v>#REF!</v>
      </c>
      <c r="S63" s="699"/>
    </row>
    <row r="64" spans="2:20" ht="12.75">
      <c r="B64" s="659" t="s">
        <v>180</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123</v>
      </c>
    </row>
    <row r="65" spans="2:19" ht="12.75">
      <c r="B65" s="659" t="s">
        <v>226</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118</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120</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119</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106</v>
      </c>
      <c r="B70" s="59" t="s">
        <v>176</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26</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28</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107</v>
      </c>
      <c r="B73" s="661" t="s">
        <v>177</v>
      </c>
      <c r="D73" s="661">
        <v>0</v>
      </c>
      <c r="E73" s="661">
        <v>305438</v>
      </c>
      <c r="F73" s="661">
        <f>SUM(D73:E73)</f>
        <v>305438</v>
      </c>
      <c r="G73" s="646"/>
      <c r="H73" s="646"/>
      <c r="I73" s="646"/>
      <c r="K73" s="681">
        <v>287179</v>
      </c>
      <c r="L73" s="661">
        <f>SUM(J73:K73)</f>
        <v>287179</v>
      </c>
      <c r="R73" s="643"/>
    </row>
    <row r="74" spans="1:18" ht="12.75">
      <c r="A74" t="s">
        <v>108</v>
      </c>
      <c r="B74" s="661" t="s">
        <v>25</v>
      </c>
      <c r="C74" s="651"/>
      <c r="D74" s="668">
        <v>0</v>
      </c>
      <c r="E74" s="668">
        <v>309881</v>
      </c>
      <c r="F74" s="668">
        <f>SUM(D74:E74)</f>
        <v>309881</v>
      </c>
      <c r="G74" s="646"/>
      <c r="H74" s="646"/>
      <c r="I74" s="646"/>
      <c r="J74" s="684"/>
      <c r="K74" s="681">
        <v>453634</v>
      </c>
      <c r="L74" s="668">
        <f>SUM(J74:K74)</f>
        <v>453634</v>
      </c>
      <c r="R74" s="643"/>
    </row>
    <row r="75" spans="2:19" ht="12.75">
      <c r="B75" s="661" t="s">
        <v>27</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109</v>
      </c>
      <c r="B76" s="59" t="s">
        <v>178</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41" t="s">
        <v>248</v>
      </c>
      <c r="B1" s="941"/>
      <c r="C1" s="941"/>
      <c r="D1" s="941"/>
      <c r="E1" s="941"/>
    </row>
    <row r="2" spans="1:5" s="11" customFormat="1" ht="15" customHeight="1">
      <c r="A2" s="936"/>
      <c r="B2" s="936"/>
      <c r="C2" s="936"/>
      <c r="D2" s="936"/>
      <c r="E2" s="936"/>
    </row>
    <row r="3" spans="1:5" s="12" customFormat="1" ht="15" customHeight="1">
      <c r="A3" s="942" t="s">
        <v>203</v>
      </c>
      <c r="B3" s="942"/>
      <c r="C3" s="942"/>
      <c r="D3" s="942"/>
      <c r="E3" s="942"/>
    </row>
    <row r="4" spans="1:5" s="12" customFormat="1" ht="15" customHeight="1">
      <c r="A4" s="943" t="s">
        <v>469</v>
      </c>
      <c r="B4" s="943"/>
      <c r="C4" s="943"/>
      <c r="D4" s="943"/>
      <c r="E4" s="943"/>
    </row>
    <row r="5" spans="1:5" s="12" customFormat="1" ht="15" customHeight="1">
      <c r="A5" s="768"/>
      <c r="B5" s="768"/>
      <c r="C5" s="768"/>
      <c r="D5" s="768"/>
      <c r="E5" s="768"/>
    </row>
    <row r="6" spans="1:5" ht="45" customHeight="1">
      <c r="A6" s="806"/>
      <c r="B6" s="894" t="s">
        <v>204</v>
      </c>
      <c r="C6" s="894" t="s">
        <v>205</v>
      </c>
      <c r="D6" s="894" t="s">
        <v>206</v>
      </c>
      <c r="E6" s="894" t="s">
        <v>207</v>
      </c>
    </row>
    <row r="7" spans="1:5" ht="15" customHeight="1">
      <c r="A7" s="807" t="s">
        <v>250</v>
      </c>
      <c r="B7" s="473"/>
      <c r="C7" s="473"/>
      <c r="D7" s="473"/>
      <c r="E7" s="473"/>
    </row>
    <row r="8" spans="1:5" ht="15" customHeight="1">
      <c r="A8" s="808" t="s">
        <v>472</v>
      </c>
      <c r="B8" s="474">
        <f>'[13]2Q06 Trial Balance'!F17+'[13]2Q06 Trial Balance'!F21</f>
        <v>17179953.19</v>
      </c>
      <c r="C8" s="481">
        <v>0</v>
      </c>
      <c r="D8" s="481">
        <v>0</v>
      </c>
      <c r="E8" s="474">
        <f>SUM(B8:D8)</f>
        <v>17179953.19</v>
      </c>
    </row>
    <row r="9" spans="1:5" ht="15" customHeight="1">
      <c r="A9" s="808" t="s">
        <v>251</v>
      </c>
      <c r="B9" s="482">
        <v>0</v>
      </c>
      <c r="C9" s="482">
        <f>'[13]2Q06 Trial Balance'!F24</f>
        <v>169580.82</v>
      </c>
      <c r="D9" s="482">
        <v>0</v>
      </c>
      <c r="E9" s="482">
        <f>SUM(B9:D9)</f>
        <v>169580.82</v>
      </c>
    </row>
    <row r="10" spans="1:5" ht="15" customHeight="1">
      <c r="A10" s="808" t="s">
        <v>252</v>
      </c>
      <c r="B10" s="482">
        <f>410620.9-316152.63</f>
        <v>94468.27000000002</v>
      </c>
      <c r="C10" s="482">
        <v>0</v>
      </c>
      <c r="D10" s="482">
        <f>B10</f>
        <v>94468.27000000002</v>
      </c>
      <c r="E10" s="482">
        <f>+B10-D10</f>
        <v>0</v>
      </c>
    </row>
    <row r="11" spans="1:5" ht="15" customHeight="1">
      <c r="A11" s="808" t="s">
        <v>473</v>
      </c>
      <c r="B11" s="482">
        <f>'[13]2Q06 Trial Balance'!F35+D11</f>
        <v>934764.71</v>
      </c>
      <c r="C11" s="482">
        <v>0</v>
      </c>
      <c r="D11" s="482">
        <f>857913.88+36890</f>
        <v>894803.88</v>
      </c>
      <c r="E11" s="482">
        <f>B11-D11</f>
        <v>39960.82999999996</v>
      </c>
    </row>
    <row r="12" spans="1:5" ht="15" customHeight="1">
      <c r="A12" s="808" t="s">
        <v>255</v>
      </c>
      <c r="B12" s="482">
        <f>75838.16-45973.23</f>
        <v>29864.93</v>
      </c>
      <c r="C12" s="482">
        <v>0</v>
      </c>
      <c r="D12" s="482">
        <f>B12</f>
        <v>29864.93</v>
      </c>
      <c r="E12" s="482">
        <f>+B12-D12</f>
        <v>0</v>
      </c>
    </row>
    <row r="13" spans="1:5" ht="15" customHeight="1">
      <c r="A13" s="808" t="s">
        <v>151</v>
      </c>
      <c r="B13" s="482">
        <f>'[13]2Q06 Trial Balance'!F27</f>
        <v>42.08</v>
      </c>
      <c r="C13" s="482">
        <v>0</v>
      </c>
      <c r="D13" s="482">
        <v>0</v>
      </c>
      <c r="E13" s="482">
        <f>+B13-C13-D13</f>
        <v>42.08</v>
      </c>
    </row>
    <row r="14" spans="1:5" ht="15" customHeight="1">
      <c r="A14" s="809" t="s">
        <v>256</v>
      </c>
      <c r="B14" s="475">
        <f>SUM(B8:B13)</f>
        <v>18239093.18</v>
      </c>
      <c r="C14" s="475">
        <f>SUM(C8:C13)</f>
        <v>169580.82</v>
      </c>
      <c r="D14" s="475">
        <f>SUM(D8:D13)</f>
        <v>1019137.0800000001</v>
      </c>
      <c r="E14" s="475">
        <f>SUM(E8:E13)</f>
        <v>17389536.919999998</v>
      </c>
    </row>
    <row r="15" spans="1:5" ht="15" customHeight="1">
      <c r="A15" s="810"/>
      <c r="B15" s="476"/>
      <c r="C15" s="476"/>
      <c r="D15" s="476"/>
      <c r="E15" s="476"/>
    </row>
    <row r="16" spans="1:5" ht="15" customHeight="1">
      <c r="A16" s="811" t="s">
        <v>257</v>
      </c>
      <c r="B16" s="476"/>
      <c r="C16" s="476"/>
      <c r="D16" s="476"/>
      <c r="E16" s="476"/>
    </row>
    <row r="17" spans="1:5" ht="15" customHeight="1">
      <c r="A17" s="810" t="s">
        <v>258</v>
      </c>
      <c r="B17" s="476"/>
      <c r="C17" s="476"/>
      <c r="D17" s="476" t="s">
        <v>258</v>
      </c>
      <c r="E17" s="476"/>
    </row>
    <row r="18" spans="1:5" ht="15" customHeight="1">
      <c r="A18" s="812" t="s">
        <v>435</v>
      </c>
      <c r="B18" s="476"/>
      <c r="C18" s="477"/>
      <c r="D18" s="485">
        <f>-'[13]2Q06 Trial Balance'!F182</f>
        <v>1864122</v>
      </c>
      <c r="E18" s="476"/>
    </row>
    <row r="19" spans="1:5" ht="15" customHeight="1">
      <c r="A19" s="812" t="s">
        <v>436</v>
      </c>
      <c r="B19" s="476"/>
      <c r="C19" s="477"/>
      <c r="D19" s="485">
        <f>-'[13]2Q06 Trial Balance'!F185</f>
        <v>589226</v>
      </c>
      <c r="E19" s="476"/>
    </row>
    <row r="20" spans="1:5" ht="15" customHeight="1">
      <c r="A20" s="812" t="s">
        <v>69</v>
      </c>
      <c r="B20" s="476"/>
      <c r="C20" s="477"/>
      <c r="D20" s="485">
        <f>-'[13]2Q06 Trial Balance'!F179</f>
        <v>394512.76999999996</v>
      </c>
      <c r="E20" s="476"/>
    </row>
    <row r="21" spans="1:5" ht="15" customHeight="1">
      <c r="A21" s="812" t="s">
        <v>14</v>
      </c>
      <c r="B21" s="476"/>
      <c r="C21" s="477"/>
      <c r="D21" s="485">
        <f>-'[13]2Q06 Trial Balance'!F190</f>
        <v>453987</v>
      </c>
      <c r="E21" s="476"/>
    </row>
    <row r="22" spans="1:5" ht="15" customHeight="1">
      <c r="A22" s="812" t="s">
        <v>74</v>
      </c>
      <c r="B22" s="476"/>
      <c r="C22" s="538"/>
      <c r="D22" s="485">
        <f>-'[13]2Q06 Trial Balance'!F196+2</f>
        <v>160582.58</v>
      </c>
      <c r="E22" s="476"/>
    </row>
    <row r="23" spans="1:5" ht="15" customHeight="1">
      <c r="A23" s="812" t="s">
        <v>446</v>
      </c>
      <c r="B23" s="476"/>
      <c r="C23" s="538"/>
      <c r="D23" s="485">
        <f>-'[13]2Q06 Trial Balance'!F141</f>
        <v>116154.43</v>
      </c>
      <c r="E23" s="485"/>
    </row>
    <row r="24" spans="1:5" ht="15" customHeight="1">
      <c r="A24" s="812" t="s">
        <v>75</v>
      </c>
      <c r="B24" s="476"/>
      <c r="C24" s="477"/>
      <c r="D24" s="484">
        <v>0</v>
      </c>
      <c r="E24" s="477"/>
    </row>
    <row r="25" spans="1:5" ht="15" customHeight="1">
      <c r="A25" s="812"/>
      <c r="B25" s="357"/>
      <c r="C25" s="476"/>
      <c r="D25" s="476"/>
      <c r="E25" s="485"/>
    </row>
    <row r="26" spans="1:5" ht="15" customHeight="1">
      <c r="A26" s="809" t="s">
        <v>259</v>
      </c>
      <c r="B26" s="476"/>
      <c r="C26" s="476"/>
      <c r="D26" s="476"/>
      <c r="E26" s="486">
        <f>SUM(D18:D25)</f>
        <v>3578584.7800000003</v>
      </c>
    </row>
    <row r="27" spans="1:5" ht="15" customHeight="1">
      <c r="A27" s="810"/>
      <c r="B27" s="476"/>
      <c r="C27" s="476"/>
      <c r="D27" s="476"/>
      <c r="E27" s="476"/>
    </row>
    <row r="28" spans="1:5" ht="15" customHeight="1">
      <c r="A28" s="811" t="s">
        <v>260</v>
      </c>
      <c r="B28" s="476"/>
      <c r="C28" s="476"/>
      <c r="D28" s="476"/>
      <c r="E28" s="476"/>
    </row>
    <row r="29" spans="1:5" ht="15" customHeight="1">
      <c r="A29" s="812" t="s">
        <v>261</v>
      </c>
      <c r="B29" s="476"/>
      <c r="C29" s="477"/>
      <c r="D29" s="485">
        <f>'Equity YTD-4'!G39</f>
        <v>11057391</v>
      </c>
      <c r="E29" s="476"/>
    </row>
    <row r="30" spans="1:5" ht="15" customHeight="1">
      <c r="A30" s="812" t="s">
        <v>66</v>
      </c>
      <c r="B30" s="476"/>
      <c r="C30" s="477"/>
      <c r="D30" s="485">
        <f>'Losses Incurred YTD-10'!G19</f>
        <v>3908503.55</v>
      </c>
      <c r="E30" s="476"/>
    </row>
    <row r="31" spans="1:5" ht="15" customHeight="1">
      <c r="A31" s="812" t="s">
        <v>65</v>
      </c>
      <c r="B31" s="476"/>
      <c r="C31" s="477"/>
      <c r="D31" s="485">
        <f>'Losses Incurred YTD-10'!G25</f>
        <v>1117619</v>
      </c>
      <c r="E31" s="485"/>
    </row>
    <row r="32" spans="1:5" ht="15" customHeight="1">
      <c r="A32" s="812" t="s">
        <v>70</v>
      </c>
      <c r="B32" s="476"/>
      <c r="C32" s="477"/>
      <c r="D32" s="485">
        <f>'[11]Unpaid Loss Expense Reserves-14'!G20</f>
        <v>436022</v>
      </c>
      <c r="E32" s="476"/>
    </row>
    <row r="33" spans="1:5" ht="15" customHeight="1">
      <c r="A33" s="812" t="s">
        <v>71</v>
      </c>
      <c r="B33" s="477"/>
      <c r="C33" s="477"/>
      <c r="D33" s="485">
        <f>'[11]Unpaid Loss Expense Reserves-14'!G27</f>
        <v>175394.61</v>
      </c>
      <c r="E33" s="485"/>
    </row>
    <row r="34" spans="1:5" ht="15" customHeight="1">
      <c r="A34" s="812" t="s">
        <v>99</v>
      </c>
      <c r="B34" s="476"/>
      <c r="C34" s="477"/>
      <c r="D34" s="122">
        <f>'Equity YTD-4'!B42</f>
        <v>310412.15</v>
      </c>
      <c r="E34" s="476"/>
    </row>
    <row r="35" spans="1:5" ht="15" customHeight="1">
      <c r="A35" s="812" t="s">
        <v>93</v>
      </c>
      <c r="B35" s="476"/>
      <c r="C35" s="476"/>
      <c r="D35" s="484">
        <f>'Equity YTD-4'!B43</f>
        <v>15977.01</v>
      </c>
      <c r="E35" s="476"/>
    </row>
    <row r="36" spans="1:5" ht="15" customHeight="1">
      <c r="A36" s="812"/>
      <c r="B36" s="476"/>
      <c r="C36" s="476"/>
      <c r="D36" s="476"/>
      <c r="E36" s="476"/>
    </row>
    <row r="37" spans="1:5" ht="15" customHeight="1">
      <c r="A37" s="813" t="s">
        <v>378</v>
      </c>
      <c r="B37" s="476"/>
      <c r="C37" s="476"/>
      <c r="D37" s="477"/>
      <c r="E37" s="486">
        <f>SUM(D29:D35)+1</f>
        <v>17021320.32</v>
      </c>
    </row>
    <row r="38" spans="1:5" ht="15" customHeight="1">
      <c r="A38" s="813"/>
      <c r="B38" s="476"/>
      <c r="C38" s="476"/>
      <c r="D38" s="477"/>
      <c r="E38" s="479"/>
    </row>
    <row r="39" spans="1:5" ht="15" customHeight="1">
      <c r="A39" s="809" t="s">
        <v>263</v>
      </c>
      <c r="B39" s="476"/>
      <c r="C39" s="476"/>
      <c r="D39" s="477"/>
      <c r="E39" s="487">
        <f>E37+E26</f>
        <v>20599905.1</v>
      </c>
    </row>
    <row r="40" spans="1:5" ht="15" customHeight="1">
      <c r="A40" s="810"/>
      <c r="B40" s="476"/>
      <c r="C40" s="476"/>
      <c r="D40" s="477"/>
      <c r="E40" s="476"/>
    </row>
    <row r="41" spans="1:5" ht="15" customHeight="1">
      <c r="A41" s="811" t="s">
        <v>264</v>
      </c>
      <c r="B41" s="476"/>
      <c r="C41" s="476"/>
      <c r="D41" s="477"/>
      <c r="E41" s="476"/>
    </row>
    <row r="42" spans="1:7" ht="15" customHeight="1">
      <c r="A42" s="812" t="s">
        <v>470</v>
      </c>
      <c r="B42" s="476"/>
      <c r="C42" s="476"/>
      <c r="D42" s="477"/>
      <c r="E42" s="486">
        <f>+E14-E39</f>
        <v>-3210368.1800000034</v>
      </c>
      <c r="F42" s="814"/>
      <c r="G42" s="815"/>
    </row>
    <row r="43" spans="1:5" ht="15" customHeight="1">
      <c r="A43" s="810"/>
      <c r="B43" s="477"/>
      <c r="C43" s="477"/>
      <c r="D43" s="477"/>
      <c r="E43" s="476"/>
    </row>
    <row r="44" spans="1:7" ht="15" customHeight="1" thickBot="1">
      <c r="A44" s="813" t="s">
        <v>265</v>
      </c>
      <c r="B44" s="476"/>
      <c r="C44" s="476"/>
      <c r="D44" s="476"/>
      <c r="E44" s="480">
        <f>E39+E42</f>
        <v>17389536.919999998</v>
      </c>
      <c r="F44" s="911"/>
      <c r="G44" s="374"/>
    </row>
    <row r="45" spans="1:6" ht="15" customHeight="1" thickTop="1">
      <c r="A45" s="15"/>
      <c r="B45" s="472"/>
      <c r="C45" s="472"/>
      <c r="D45" s="472"/>
      <c r="E45" s="472"/>
      <c r="F45" s="374"/>
    </row>
    <row r="54" spans="1:5" ht="15" customHeight="1">
      <c r="A54" s="804"/>
      <c r="E54" s="805"/>
    </row>
    <row r="58" spans="1:5" ht="15" customHeight="1">
      <c r="A58" s="804"/>
      <c r="B58" s="895"/>
      <c r="C58" s="895"/>
      <c r="D58" s="895"/>
      <c r="E58" s="896"/>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44" t="s">
        <v>248</v>
      </c>
      <c r="B1" s="944"/>
      <c r="C1" s="944"/>
      <c r="D1" s="944"/>
      <c r="E1" s="944"/>
      <c r="F1" s="944"/>
      <c r="G1" s="944"/>
      <c r="H1" s="241"/>
    </row>
    <row r="2" spans="1:8" s="27" customFormat="1" ht="18.75">
      <c r="A2" s="945"/>
      <c r="B2" s="945"/>
      <c r="C2" s="945"/>
      <c r="D2" s="945"/>
      <c r="E2" s="945"/>
      <c r="F2" s="945"/>
      <c r="G2" s="945"/>
      <c r="H2" s="1"/>
    </row>
    <row r="3" spans="1:8" s="29" customFormat="1" ht="18.75">
      <c r="A3" s="946" t="s">
        <v>281</v>
      </c>
      <c r="B3" s="946"/>
      <c r="C3" s="946"/>
      <c r="D3" s="946"/>
      <c r="E3" s="946"/>
      <c r="F3" s="946"/>
      <c r="G3" s="946"/>
      <c r="H3" s="28"/>
    </row>
    <row r="4" spans="1:8" s="29" customFormat="1" ht="18.75">
      <c r="A4" s="946" t="s">
        <v>8</v>
      </c>
      <c r="B4" s="946"/>
      <c r="C4" s="946"/>
      <c r="D4" s="946"/>
      <c r="E4" s="946"/>
      <c r="F4" s="946"/>
      <c r="G4" s="946"/>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39</v>
      </c>
      <c r="C7" s="392" t="s">
        <v>43</v>
      </c>
      <c r="D7" s="392" t="s">
        <v>139</v>
      </c>
      <c r="E7" s="392" t="s">
        <v>210</v>
      </c>
      <c r="F7" s="392" t="s">
        <v>94</v>
      </c>
      <c r="G7" s="392" t="s">
        <v>249</v>
      </c>
      <c r="H7" s="382"/>
      <c r="I7" s="32" t="s">
        <v>128</v>
      </c>
    </row>
    <row r="8" spans="1:8" s="34" customFormat="1" ht="12.75">
      <c r="A8" s="393" t="s">
        <v>283</v>
      </c>
      <c r="B8" s="394"/>
      <c r="C8" s="394"/>
      <c r="D8" s="394"/>
      <c r="E8" s="394"/>
      <c r="F8" s="394"/>
      <c r="G8" s="395"/>
      <c r="H8" s="33"/>
    </row>
    <row r="9" spans="1:9" ht="12.75">
      <c r="A9" s="396" t="s">
        <v>284</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285</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286</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287</v>
      </c>
      <c r="B13" s="501"/>
      <c r="C13" s="501"/>
      <c r="D13" s="501"/>
      <c r="E13" s="501"/>
      <c r="F13" s="501"/>
      <c r="G13" s="494"/>
      <c r="H13" s="37"/>
    </row>
    <row r="14" spans="1:10" ht="12.75">
      <c r="A14" s="354" t="s">
        <v>288</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289</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290</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291</v>
      </c>
      <c r="B17" s="494">
        <f>+'[1]TB03-31-04(Final)'!G635</f>
        <v>12016.59</v>
      </c>
      <c r="C17" s="494">
        <v>0</v>
      </c>
      <c r="D17" s="494">
        <v>0</v>
      </c>
      <c r="E17" s="494">
        <v>0</v>
      </c>
      <c r="F17" s="346">
        <v>0</v>
      </c>
      <c r="G17" s="498">
        <f t="shared" si="1"/>
        <v>12016.59</v>
      </c>
      <c r="H17" s="356">
        <f>+'(8)Earned Incurred YTD6'!C38</f>
        <v>108491.93</v>
      </c>
      <c r="I17" s="38">
        <v>62000</v>
      </c>
    </row>
    <row r="18" spans="1:10" ht="12.75">
      <c r="A18" s="398" t="s">
        <v>292</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293</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129</v>
      </c>
      <c r="J19" s="116" t="e">
        <f>+G19-H19</f>
        <v>#REF!</v>
      </c>
    </row>
    <row r="20" spans="1:9" ht="12.75">
      <c r="A20" s="354" t="s">
        <v>294</v>
      </c>
      <c r="B20" s="494">
        <f>+'[1]TB03-31-04(Final)'!G639</f>
        <v>3506.25</v>
      </c>
      <c r="C20" s="494">
        <v>0</v>
      </c>
      <c r="D20" s="494">
        <v>0</v>
      </c>
      <c r="E20" s="494">
        <v>0</v>
      </c>
      <c r="F20" s="346">
        <v>0</v>
      </c>
      <c r="G20" s="498">
        <f t="shared" si="1"/>
        <v>3506.25</v>
      </c>
      <c r="H20" s="356">
        <f>+G20+G18+G17</f>
        <v>108491.93</v>
      </c>
      <c r="I20" s="38">
        <v>63000</v>
      </c>
    </row>
    <row r="21" spans="1:10" ht="12.75">
      <c r="A21" s="354" t="s">
        <v>295</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262</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286</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296</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297</v>
      </c>
      <c r="B27" s="501"/>
      <c r="C27" s="501"/>
      <c r="D27" s="501"/>
      <c r="E27" s="501"/>
      <c r="F27" s="501"/>
      <c r="G27" s="494"/>
      <c r="H27" s="37"/>
    </row>
    <row r="28" spans="1:8" ht="12.75">
      <c r="A28" s="354" t="s">
        <v>298</v>
      </c>
      <c r="B28" s="494">
        <v>0</v>
      </c>
      <c r="C28" s="494">
        <v>17084</v>
      </c>
      <c r="D28" s="494">
        <v>0</v>
      </c>
      <c r="E28" s="494">
        <v>0</v>
      </c>
      <c r="F28" s="494">
        <v>0</v>
      </c>
      <c r="G28" s="498">
        <f>SUM(B28:F28)</f>
        <v>17084</v>
      </c>
      <c r="H28" s="37"/>
    </row>
    <row r="29" spans="1:8" ht="12.75">
      <c r="A29" s="354" t="s">
        <v>299</v>
      </c>
      <c r="B29" s="494">
        <f>'Balance Sheet-1'!D14</f>
        <v>1019137.0800000001</v>
      </c>
      <c r="C29" s="494">
        <v>0</v>
      </c>
      <c r="D29" s="494">
        <v>0</v>
      </c>
      <c r="E29" s="494">
        <v>0</v>
      </c>
      <c r="F29" s="494">
        <v>0</v>
      </c>
      <c r="G29" s="498">
        <f>SUM(B29:F29)</f>
        <v>1019137.0800000001</v>
      </c>
      <c r="H29" s="37"/>
    </row>
    <row r="30" spans="1:8" ht="12.75" hidden="1">
      <c r="A30" s="354" t="s">
        <v>67</v>
      </c>
      <c r="B30" s="494">
        <v>0</v>
      </c>
      <c r="C30" s="494">
        <v>0</v>
      </c>
      <c r="D30" s="494">
        <v>0</v>
      </c>
      <c r="E30" s="494">
        <v>0</v>
      </c>
      <c r="F30" s="494">
        <v>0</v>
      </c>
      <c r="G30" s="498">
        <f>SUM(B30:F30)</f>
        <v>0</v>
      </c>
      <c r="H30" s="37" t="s">
        <v>30</v>
      </c>
    </row>
    <row r="31" spans="1:8" ht="12.75">
      <c r="A31" s="354" t="s">
        <v>286</v>
      </c>
      <c r="B31" s="496">
        <f aca="true" t="shared" si="4" ref="B31:G31">SUM(B28:B30)</f>
        <v>1019137.0800000001</v>
      </c>
      <c r="C31" s="496">
        <f t="shared" si="4"/>
        <v>17084</v>
      </c>
      <c r="D31" s="496">
        <f t="shared" si="4"/>
        <v>0</v>
      </c>
      <c r="E31" s="496">
        <f t="shared" si="4"/>
        <v>0</v>
      </c>
      <c r="F31" s="496">
        <f t="shared" si="4"/>
        <v>0</v>
      </c>
      <c r="G31" s="497">
        <f t="shared" si="4"/>
        <v>1036221.0800000001</v>
      </c>
      <c r="H31" s="39"/>
    </row>
    <row r="32" spans="1:8" ht="12.75">
      <c r="A32" s="354"/>
      <c r="B32" s="494"/>
      <c r="C32" s="494"/>
      <c r="D32" s="494"/>
      <c r="E32" s="494"/>
      <c r="F32" s="494"/>
      <c r="G32" s="494"/>
      <c r="H32" s="37"/>
    </row>
    <row r="33" spans="1:8" ht="12.75">
      <c r="A33" s="393" t="s">
        <v>300</v>
      </c>
      <c r="B33" s="501"/>
      <c r="C33" s="501"/>
      <c r="D33" s="501"/>
      <c r="E33" s="501"/>
      <c r="F33" s="501"/>
      <c r="G33" s="494"/>
      <c r="H33" s="37"/>
    </row>
    <row r="34" spans="1:8" ht="12.75">
      <c r="A34" s="354" t="s">
        <v>301</v>
      </c>
      <c r="B34" s="494">
        <f>'(8)Earned Incurred YTD6'!B49</f>
        <v>10038.47</v>
      </c>
      <c r="C34" s="494">
        <f>'(8)Earned Incurred YTD6'!C49</f>
        <v>0</v>
      </c>
      <c r="D34" s="494">
        <v>0</v>
      </c>
      <c r="E34" s="494">
        <v>0</v>
      </c>
      <c r="F34" s="494">
        <v>0</v>
      </c>
      <c r="G34" s="498">
        <f>SUM(B34:F34)</f>
        <v>10038.47</v>
      </c>
      <c r="H34" s="37">
        <f>-G28+G34</f>
        <v>-7045.530000000001</v>
      </c>
    </row>
    <row r="35" spans="1:8" ht="12.75">
      <c r="A35" s="354" t="s">
        <v>302</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286</v>
      </c>
      <c r="B37" s="496">
        <f aca="true" t="shared" si="5" ref="B37:G37">SUM(B34:B36)</f>
        <v>10038.47</v>
      </c>
      <c r="C37" s="496">
        <f t="shared" si="5"/>
        <v>282394</v>
      </c>
      <c r="D37" s="496">
        <f t="shared" si="5"/>
        <v>0</v>
      </c>
      <c r="E37" s="496">
        <f t="shared" si="5"/>
        <v>0</v>
      </c>
      <c r="F37" s="496">
        <f t="shared" si="5"/>
        <v>0</v>
      </c>
      <c r="G37" s="497">
        <f t="shared" si="5"/>
        <v>292432.47</v>
      </c>
      <c r="H37" s="591">
        <f>+G31-G37</f>
        <v>743788.6100000001</v>
      </c>
    </row>
    <row r="38" spans="1:8" ht="12.75">
      <c r="A38" s="354"/>
      <c r="B38" s="494"/>
      <c r="C38" s="494"/>
      <c r="D38" s="494"/>
      <c r="E38" s="494"/>
      <c r="F38" s="494"/>
      <c r="G38" s="503"/>
      <c r="H38" s="39"/>
    </row>
    <row r="39" spans="1:28" s="42" customFormat="1" ht="12.75">
      <c r="A39" s="400" t="s">
        <v>182</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183</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197</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286</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303</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97</v>
      </c>
      <c r="B46" s="494"/>
      <c r="C46" s="494"/>
      <c r="D46" s="494"/>
      <c r="E46" s="494"/>
      <c r="F46" s="494"/>
      <c r="G46" s="494"/>
      <c r="H46" s="37"/>
    </row>
    <row r="47" spans="1:8" ht="12.75">
      <c r="A47" s="354" t="s">
        <v>261</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304</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305</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306</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307</v>
      </c>
      <c r="B51" s="494">
        <f>'(8)Earned Incurred YTD6'!B32</f>
        <v>15977.01</v>
      </c>
      <c r="C51" s="494">
        <f>'(8)Earned Incurred YTD6'!C32</f>
        <v>0</v>
      </c>
      <c r="D51" s="494">
        <v>0</v>
      </c>
      <c r="E51" s="494">
        <v>0</v>
      </c>
      <c r="F51" s="346">
        <v>0</v>
      </c>
      <c r="G51" s="498">
        <f>SUM(B51:F51)</f>
        <v>15977.01</v>
      </c>
      <c r="H51" s="37">
        <f>+'(8)Earned Incurred YTD6'!B32</f>
        <v>15977.01</v>
      </c>
    </row>
    <row r="52" spans="1:9" ht="12.75">
      <c r="A52" s="403" t="s">
        <v>286</v>
      </c>
      <c r="B52" s="496">
        <f>SUM(B47:B51)-1</f>
        <v>13731958.64183647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98</v>
      </c>
      <c r="B54" s="507"/>
      <c r="C54" s="507"/>
      <c r="D54" s="507"/>
      <c r="E54" s="507"/>
      <c r="F54" s="494"/>
      <c r="G54" s="494"/>
      <c r="H54" s="37"/>
    </row>
    <row r="55" spans="1:8" ht="12.75">
      <c r="A55" s="354" t="s">
        <v>261</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304</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308</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306</v>
      </c>
      <c r="B58" s="494">
        <v>0</v>
      </c>
      <c r="C58" s="494">
        <f>+'(8)Earned Incurred YTD6'!B42</f>
        <v>356304</v>
      </c>
      <c r="D58" s="494">
        <v>0</v>
      </c>
      <c r="E58" s="494">
        <v>0</v>
      </c>
      <c r="F58" s="494">
        <v>0</v>
      </c>
      <c r="G58" s="498">
        <f>SUM(B58:F58)</f>
        <v>356304</v>
      </c>
      <c r="H58" s="37">
        <f>+'(8)Earned Incurred YTD6'!B42</f>
        <v>356304</v>
      </c>
    </row>
    <row r="59" spans="1:8" ht="12.75">
      <c r="A59" s="354" t="s">
        <v>307</v>
      </c>
      <c r="B59" s="494">
        <v>0</v>
      </c>
      <c r="C59" s="494">
        <f>+'(8)Earned Incurred YTD6'!B33</f>
        <v>46320</v>
      </c>
      <c r="D59" s="494">
        <v>0</v>
      </c>
      <c r="E59" s="494">
        <v>0</v>
      </c>
      <c r="F59" s="494">
        <v>0</v>
      </c>
      <c r="G59" s="498">
        <f>SUM(B59:F59)</f>
        <v>46320</v>
      </c>
      <c r="H59" s="37">
        <f>+'(8)Earned Incurred YTD6'!B33</f>
        <v>46320</v>
      </c>
    </row>
    <row r="60" spans="1:8" ht="12.75">
      <c r="A60" s="354" t="s">
        <v>286</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309</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41" t="s">
        <v>248</v>
      </c>
      <c r="B1" s="941"/>
      <c r="C1" s="941"/>
      <c r="D1" s="941"/>
      <c r="E1" s="941"/>
    </row>
    <row r="2" spans="1:3" s="20" customFormat="1" ht="15" customHeight="1">
      <c r="A2" s="936"/>
      <c r="B2" s="936"/>
      <c r="C2" s="936"/>
    </row>
    <row r="3" spans="1:5" s="21" customFormat="1" ht="15" customHeight="1">
      <c r="A3" s="918" t="s">
        <v>266</v>
      </c>
      <c r="B3" s="918"/>
      <c r="C3" s="918"/>
      <c r="D3" s="918"/>
      <c r="E3" s="918"/>
    </row>
    <row r="4" spans="1:5" s="21" customFormat="1" ht="15" customHeight="1">
      <c r="A4" s="919" t="s">
        <v>467</v>
      </c>
      <c r="B4" s="918"/>
      <c r="C4" s="918"/>
      <c r="D4" s="918"/>
      <c r="E4" s="918"/>
    </row>
    <row r="5" spans="1:3" s="21" customFormat="1" ht="15" customHeight="1">
      <c r="A5" s="378"/>
      <c r="B5" s="379"/>
      <c r="C5" s="379"/>
    </row>
    <row r="6" spans="1:5" ht="15" customHeight="1">
      <c r="A6" s="369"/>
      <c r="B6" s="892" t="s">
        <v>201</v>
      </c>
      <c r="C6" s="893"/>
      <c r="D6" s="892" t="s">
        <v>15</v>
      </c>
      <c r="E6" s="893"/>
    </row>
    <row r="7" spans="1:5" ht="15" customHeight="1">
      <c r="A7" s="369"/>
      <c r="B7" s="816"/>
      <c r="C7" s="817"/>
      <c r="D7" s="816"/>
      <c r="E7" s="817"/>
    </row>
    <row r="8" spans="1:5" ht="15" customHeight="1">
      <c r="A8" s="818" t="s">
        <v>268</v>
      </c>
      <c r="B8" s="816"/>
      <c r="C8" s="819"/>
      <c r="D8" s="816"/>
      <c r="E8" s="819"/>
    </row>
    <row r="9" spans="1:5" ht="15" customHeight="1">
      <c r="A9" s="818"/>
      <c r="B9" s="816"/>
      <c r="C9" s="819"/>
      <c r="D9" s="816"/>
      <c r="E9" s="819"/>
    </row>
    <row r="10" spans="1:5" ht="15" customHeight="1">
      <c r="A10" s="369" t="s">
        <v>269</v>
      </c>
      <c r="B10" s="380"/>
      <c r="C10" s="561">
        <f>'Earned Incurred QTD-5'!D16</f>
        <v>5682018</v>
      </c>
      <c r="D10" s="380"/>
      <c r="E10" s="561">
        <f>'Earned Incurred YTD-6'!D16</f>
        <v>11400914</v>
      </c>
    </row>
    <row r="11" spans="1:5" ht="15" customHeight="1">
      <c r="A11" s="818"/>
      <c r="B11" s="380"/>
      <c r="C11" s="820"/>
      <c r="D11" s="380"/>
      <c r="E11" s="820"/>
    </row>
    <row r="12" spans="1:5" ht="15" customHeight="1">
      <c r="A12" s="818" t="s">
        <v>270</v>
      </c>
      <c r="B12" s="380"/>
      <c r="C12" s="820"/>
      <c r="D12" s="380"/>
      <c r="E12" s="820"/>
    </row>
    <row r="13" spans="1:5" ht="15" customHeight="1">
      <c r="A13" s="369" t="s">
        <v>271</v>
      </c>
      <c r="B13" s="127">
        <f>'Earned Incurred QTD-5'!D23</f>
        <v>3108941.4699999997</v>
      </c>
      <c r="C13" s="820"/>
      <c r="D13" s="127">
        <f>'Earned Incurred YTD-6'!D23</f>
        <v>6181363.549999998</v>
      </c>
      <c r="E13" s="820"/>
    </row>
    <row r="14" spans="1:5" ht="15" customHeight="1">
      <c r="A14" s="369" t="s">
        <v>272</v>
      </c>
      <c r="B14" s="127">
        <f>'Earned Incurred QTD-5'!D30</f>
        <v>362005.7100000001</v>
      </c>
      <c r="C14" s="820"/>
      <c r="D14" s="127">
        <f>'Earned Incurred YTD-6'!D30</f>
        <v>698378.1400000001</v>
      </c>
      <c r="E14" s="820"/>
    </row>
    <row r="15" spans="1:5" ht="15" customHeight="1">
      <c r="A15" s="369" t="s">
        <v>273</v>
      </c>
      <c r="B15" s="127">
        <f>'Earned Incurred QTD-5'!C37</f>
        <v>490682.24999999994</v>
      </c>
      <c r="C15" s="820"/>
      <c r="D15" s="127">
        <f>'Earned Incurred YTD-6'!C37</f>
        <v>966851.1999999998</v>
      </c>
      <c r="E15" s="820"/>
    </row>
    <row r="16" spans="1:6" ht="15" customHeight="1">
      <c r="A16" s="369" t="s">
        <v>274</v>
      </c>
      <c r="B16" s="127">
        <f>'Earned Incurred QTD-5'!C38+'Earned Incurred QTD-5'!C39+'Earned Incurred QTD-5'!C43+1</f>
        <v>1209073.3400000008</v>
      </c>
      <c r="C16" s="820"/>
      <c r="D16" s="127">
        <f>'Earned Incurred YTD-6'!C38+'Earned Incurred YTD-6'!C39+'Earned Incurred YTD-6'!C43</f>
        <v>2314328.689999998</v>
      </c>
      <c r="E16" s="820"/>
      <c r="F16" s="114"/>
    </row>
    <row r="17" spans="1:5" ht="15" customHeight="1">
      <c r="A17" s="369" t="s">
        <v>95</v>
      </c>
      <c r="B17" s="145">
        <f>'Earned Incurred QTD-5'!D36</f>
        <v>22095.550000000003</v>
      </c>
      <c r="C17" s="820"/>
      <c r="D17" s="145">
        <f>'Earned Incurred YTD-6'!D36</f>
        <v>40953.799999999996</v>
      </c>
      <c r="E17" s="820"/>
    </row>
    <row r="18" spans="1:5" ht="15" customHeight="1">
      <c r="A18" s="369" t="s">
        <v>457</v>
      </c>
      <c r="B18" s="380"/>
      <c r="C18" s="488">
        <f>SUM(B13:B17)</f>
        <v>5192798.32</v>
      </c>
      <c r="D18" s="380"/>
      <c r="E18" s="488">
        <f>SUM(D13:D17)+1</f>
        <v>10201876.379999997</v>
      </c>
    </row>
    <row r="19" spans="1:5" ht="15" customHeight="1">
      <c r="A19" s="369"/>
      <c r="B19" s="380"/>
      <c r="C19" s="489"/>
      <c r="D19" s="380"/>
      <c r="E19" s="489"/>
    </row>
    <row r="20" spans="1:5" ht="15" customHeight="1">
      <c r="A20" s="369" t="s">
        <v>461</v>
      </c>
      <c r="B20" s="380"/>
      <c r="C20" s="489">
        <f>C10-C18</f>
        <v>489219.6799999997</v>
      </c>
      <c r="D20" s="380"/>
      <c r="E20" s="489">
        <f>E10-E18</f>
        <v>1199037.620000003</v>
      </c>
    </row>
    <row r="21" spans="1:5" ht="15" customHeight="1">
      <c r="A21" s="818"/>
      <c r="B21" s="380"/>
      <c r="C21" s="489"/>
      <c r="D21" s="380"/>
      <c r="E21" s="489"/>
    </row>
    <row r="22" spans="1:5" ht="15" customHeight="1">
      <c r="A22" s="818" t="s">
        <v>276</v>
      </c>
      <c r="B22" s="380"/>
      <c r="C22" s="489"/>
      <c r="D22" s="380"/>
      <c r="E22" s="489"/>
    </row>
    <row r="23" spans="1:5" ht="15" customHeight="1">
      <c r="A23" s="369" t="s">
        <v>41</v>
      </c>
      <c r="B23" s="380"/>
      <c r="C23" s="488">
        <f>'Earned Incurred QTD-5'!$D$52</f>
        <v>233345.26999999993</v>
      </c>
      <c r="D23" s="380"/>
      <c r="E23" s="488">
        <f>'Earned Incurred YTD-6'!$D$52</f>
        <v>440961.18</v>
      </c>
    </row>
    <row r="24" spans="1:5" ht="15" customHeight="1">
      <c r="A24" s="369"/>
      <c r="B24" s="380"/>
      <c r="C24" s="489"/>
      <c r="D24" s="380"/>
      <c r="E24" s="489"/>
    </row>
    <row r="25" spans="1:5" ht="15" customHeight="1" thickBot="1">
      <c r="A25" s="369" t="s">
        <v>462</v>
      </c>
      <c r="B25" s="380"/>
      <c r="C25" s="490">
        <f>C20+C23</f>
        <v>722564.9499999996</v>
      </c>
      <c r="D25" s="380"/>
      <c r="E25" s="490">
        <f>E20+E23</f>
        <v>1639998.8000000028</v>
      </c>
    </row>
    <row r="26" spans="1:5" ht="15" customHeight="1">
      <c r="A26" s="818"/>
      <c r="B26" s="380"/>
      <c r="C26" s="641"/>
      <c r="D26" s="380"/>
      <c r="E26" s="641"/>
    </row>
    <row r="27" spans="1:5" ht="15" customHeight="1">
      <c r="A27" s="818" t="s">
        <v>264</v>
      </c>
      <c r="B27" s="380"/>
      <c r="C27" s="489"/>
      <c r="D27" s="380"/>
      <c r="E27" s="489"/>
    </row>
    <row r="28" spans="1:5" ht="15" customHeight="1">
      <c r="A28" s="369" t="s">
        <v>40</v>
      </c>
      <c r="B28" s="380"/>
      <c r="C28" s="489">
        <f>'[14]Income Statement-2'!$C$34</f>
        <v>-3884251.76</v>
      </c>
      <c r="D28" s="380"/>
      <c r="E28" s="489">
        <f>'[14]Income Statement-2'!$C$28</f>
        <v>-4607428.9</v>
      </c>
    </row>
    <row r="29" spans="1:5" ht="15" customHeight="1">
      <c r="A29" s="369" t="s">
        <v>463</v>
      </c>
      <c r="B29" s="127">
        <f>C25</f>
        <v>722564.9499999996</v>
      </c>
      <c r="C29" s="489"/>
      <c r="D29" s="127">
        <f>E25</f>
        <v>1639998.8000000028</v>
      </c>
      <c r="E29" s="489"/>
    </row>
    <row r="30" spans="1:6" ht="15" customHeight="1">
      <c r="A30" s="369" t="s">
        <v>279</v>
      </c>
      <c r="B30" s="145">
        <f>-'[13]2Q06 Trial Balance'!C204+1</f>
        <v>-48680.96</v>
      </c>
      <c r="C30" s="489"/>
      <c r="D30" s="491">
        <v>-242937.67</v>
      </c>
      <c r="E30" s="489"/>
      <c r="F30" s="114"/>
    </row>
    <row r="31" spans="3:7" ht="14.25">
      <c r="C31" s="489"/>
      <c r="D31" s="127"/>
      <c r="E31" s="489"/>
      <c r="F31" s="127"/>
      <c r="G31" s="127"/>
    </row>
    <row r="32" spans="1:5" ht="15" customHeight="1">
      <c r="A32" s="369" t="s">
        <v>280</v>
      </c>
      <c r="C32" s="489">
        <f>SUM(B29:B32)</f>
        <v>673883.9899999996</v>
      </c>
      <c r="D32" s="127"/>
      <c r="E32" s="489">
        <f>SUM(D29:D32)</f>
        <v>1397061.130000003</v>
      </c>
    </row>
    <row r="33" spans="1:5" ht="15" customHeight="1">
      <c r="A33" s="369"/>
      <c r="C33" s="821"/>
      <c r="D33" s="127"/>
      <c r="E33" s="821"/>
    </row>
    <row r="34" spans="1:5" ht="15" customHeight="1" thickBot="1">
      <c r="A34" s="822" t="s">
        <v>468</v>
      </c>
      <c r="B34" s="380"/>
      <c r="C34" s="557">
        <f>C28+C32</f>
        <v>-3210367.77</v>
      </c>
      <c r="D34" s="380"/>
      <c r="E34" s="557">
        <f>E28+E32</f>
        <v>-3210367.7699999977</v>
      </c>
    </row>
    <row r="35" spans="2:5" s="14" customFormat="1" ht="15" customHeight="1" thickTop="1">
      <c r="B35" s="256"/>
      <c r="C35" s="127"/>
      <c r="D35" s="369"/>
      <c r="E35" s="127"/>
    </row>
    <row r="36" spans="3:5" ht="15" customHeight="1">
      <c r="C36" s="347"/>
      <c r="E36" s="347"/>
    </row>
    <row r="39"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7.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13" t="s">
        <v>248</v>
      </c>
      <c r="B1" s="913"/>
      <c r="C1" s="913"/>
      <c r="D1" s="913"/>
      <c r="E1" s="913"/>
      <c r="F1" s="913"/>
      <c r="G1" s="913"/>
    </row>
    <row r="2" spans="1:7" s="27" customFormat="1" ht="15" customHeight="1">
      <c r="A2" s="914"/>
      <c r="B2" s="914"/>
      <c r="C2" s="914"/>
      <c r="D2" s="914"/>
      <c r="E2" s="914"/>
      <c r="F2" s="914"/>
      <c r="G2" s="914"/>
    </row>
    <row r="3" spans="1:7" s="774" customFormat="1" ht="15" customHeight="1">
      <c r="A3" s="915" t="s">
        <v>281</v>
      </c>
      <c r="B3" s="915"/>
      <c r="C3" s="915"/>
      <c r="D3" s="915"/>
      <c r="E3" s="915"/>
      <c r="F3" s="915"/>
      <c r="G3" s="915"/>
    </row>
    <row r="4" spans="1:7" s="774" customFormat="1" ht="15" customHeight="1">
      <c r="A4" s="915" t="s">
        <v>475</v>
      </c>
      <c r="B4" s="915"/>
      <c r="C4" s="915"/>
      <c r="D4" s="915"/>
      <c r="E4" s="915"/>
      <c r="F4" s="915"/>
      <c r="G4" s="915"/>
    </row>
    <row r="5" spans="1:7" s="29" customFormat="1" ht="15" customHeight="1">
      <c r="A5" s="381"/>
      <c r="B5" s="798"/>
      <c r="C5" s="798"/>
      <c r="D5" s="799"/>
      <c r="E5" s="800"/>
      <c r="F5" s="800"/>
      <c r="G5" s="801"/>
    </row>
    <row r="6" spans="1:7" s="777" customFormat="1" ht="30" customHeight="1">
      <c r="A6" s="823"/>
      <c r="B6" s="891" t="s">
        <v>476</v>
      </c>
      <c r="C6" s="891" t="s">
        <v>466</v>
      </c>
      <c r="D6" s="891" t="s">
        <v>190</v>
      </c>
      <c r="E6" s="891" t="s">
        <v>39</v>
      </c>
      <c r="F6" s="891" t="s">
        <v>477</v>
      </c>
      <c r="G6" s="891" t="s">
        <v>249</v>
      </c>
    </row>
    <row r="7" spans="1:7" s="778" customFormat="1" ht="15" customHeight="1">
      <c r="A7" s="824" t="s">
        <v>283</v>
      </c>
      <c r="B7" s="825"/>
      <c r="C7" s="825"/>
      <c r="D7" s="826"/>
      <c r="E7" s="826"/>
      <c r="F7" s="826"/>
      <c r="G7" s="826"/>
    </row>
    <row r="8" spans="1:7" s="776" customFormat="1" ht="15" customHeight="1">
      <c r="A8" s="827" t="s">
        <v>284</v>
      </c>
      <c r="B8" s="828">
        <f>'Premiums QTD-7'!B11</f>
        <v>5772599</v>
      </c>
      <c r="C8" s="828">
        <f>'Premiums QTD-7'!C11</f>
        <v>-102987</v>
      </c>
      <c r="D8" s="828">
        <f>'Premiums QTD-7'!D11</f>
        <v>-2584</v>
      </c>
      <c r="E8" s="828">
        <f>'Premiums QTD-7'!E11</f>
        <v>-453</v>
      </c>
      <c r="F8" s="829">
        <f>'Premiums QTD-7'!F11</f>
        <v>0</v>
      </c>
      <c r="G8" s="828">
        <f>SUM(B8:F8)</f>
        <v>5666575</v>
      </c>
    </row>
    <row r="9" spans="1:7" s="776" customFormat="1" ht="15" customHeight="1">
      <c r="A9" s="827" t="s">
        <v>285</v>
      </c>
      <c r="B9" s="834">
        <f>'Earned Incurred QTD-5'!C48</f>
        <v>203201.42999999993</v>
      </c>
      <c r="C9" s="834">
        <v>0</v>
      </c>
      <c r="D9" s="834">
        <v>0</v>
      </c>
      <c r="E9" s="834">
        <v>0</v>
      </c>
      <c r="F9" s="834">
        <v>0</v>
      </c>
      <c r="G9" s="829">
        <f>SUM(B9:F9)</f>
        <v>203201.42999999993</v>
      </c>
    </row>
    <row r="10" spans="1:7" s="776" customFormat="1" ht="15" customHeight="1" thickBot="1">
      <c r="A10" s="830" t="s">
        <v>286</v>
      </c>
      <c r="B10" s="831">
        <f aca="true" t="shared" si="0" ref="B10:G10">SUM(B8:B9)</f>
        <v>5975800.43</v>
      </c>
      <c r="C10" s="831">
        <f t="shared" si="0"/>
        <v>-102987</v>
      </c>
      <c r="D10" s="831">
        <f t="shared" si="0"/>
        <v>-2584</v>
      </c>
      <c r="E10" s="832">
        <f t="shared" si="0"/>
        <v>-453</v>
      </c>
      <c r="F10" s="832">
        <f t="shared" si="0"/>
        <v>0</v>
      </c>
      <c r="G10" s="833">
        <f t="shared" si="0"/>
        <v>5869776.43</v>
      </c>
    </row>
    <row r="11" spans="1:7" s="776" customFormat="1" ht="15" customHeight="1" thickTop="1">
      <c r="A11" s="830"/>
      <c r="B11" s="834"/>
      <c r="C11" s="834"/>
      <c r="D11" s="834"/>
      <c r="E11" s="829"/>
      <c r="F11" s="829"/>
      <c r="G11" s="829"/>
    </row>
    <row r="12" spans="1:7" s="776" customFormat="1" ht="15" customHeight="1">
      <c r="A12" s="824" t="s">
        <v>287</v>
      </c>
      <c r="B12" s="829"/>
      <c r="C12" s="829"/>
      <c r="D12" s="829"/>
      <c r="E12" s="829"/>
      <c r="F12" s="829"/>
      <c r="G12" s="829"/>
    </row>
    <row r="13" spans="1:7" s="776" customFormat="1" ht="15" customHeight="1">
      <c r="A13" s="830" t="s">
        <v>288</v>
      </c>
      <c r="B13" s="834">
        <f>'Losses Incurred QTD-9'!B13</f>
        <v>147613.12</v>
      </c>
      <c r="C13" s="834">
        <f>'Losses Incurred QTD-9'!C13</f>
        <v>2854805.1799999997</v>
      </c>
      <c r="D13" s="834">
        <f>'Losses Incurred QTD-9'!D13</f>
        <v>238902.18999999997</v>
      </c>
      <c r="E13" s="834">
        <f>'Losses Incurred QTD-9'!E13</f>
        <v>6114.5599999999995</v>
      </c>
      <c r="F13" s="834">
        <f>'Losses Incurred QTD-9'!F13</f>
        <v>-17743.34</v>
      </c>
      <c r="G13" s="829">
        <f>SUM(B13:F13)</f>
        <v>3229691.71</v>
      </c>
    </row>
    <row r="14" spans="1:7" s="776" customFormat="1" ht="15" customHeight="1">
      <c r="A14" s="830" t="s">
        <v>289</v>
      </c>
      <c r="B14" s="834">
        <f>'[11]Loss Expenses Paid QTD-15'!C37</f>
        <v>17971.95</v>
      </c>
      <c r="C14" s="834">
        <f>'[11]Loss Expenses Paid QTD-15'!C31-1</f>
        <v>180568.87</v>
      </c>
      <c r="D14" s="834">
        <f>'[11]Loss Expenses Paid QTD-15'!C25</f>
        <v>18209.61</v>
      </c>
      <c r="E14" s="834">
        <f>'[11]Loss Expenses Paid QTD-15'!C19</f>
        <v>2897.9</v>
      </c>
      <c r="F14" s="834">
        <f>'[11]Loss Expenses Paid QTD-15'!C13</f>
        <v>1900.97</v>
      </c>
      <c r="G14" s="829">
        <f>SUM(B14:F14)+1</f>
        <v>221550.3</v>
      </c>
    </row>
    <row r="15" spans="1:7" s="776" customFormat="1" ht="15" customHeight="1">
      <c r="A15" s="830" t="s">
        <v>290</v>
      </c>
      <c r="B15" s="834">
        <f>'[11]Loss Expenses Paid QTD-15'!I37+1</f>
        <v>3180.42</v>
      </c>
      <c r="C15" s="834">
        <f>'[11]Loss Expenses Paid QTD-15'!I31</f>
        <v>103856.56</v>
      </c>
      <c r="D15" s="834">
        <f>'[11]Loss Expenses Paid QTD-15'!I25</f>
        <v>20323.14</v>
      </c>
      <c r="E15" s="834">
        <f>'[11]Loss Expenses Paid QTD-15'!I19</f>
        <v>1672.36</v>
      </c>
      <c r="F15" s="834">
        <f>'[11]Loss Expenses Paid QTD-15'!I13</f>
        <v>2553.62</v>
      </c>
      <c r="G15" s="829">
        <f>SUM(B15:F15)</f>
        <v>131586.1</v>
      </c>
    </row>
    <row r="16" spans="1:7" s="776" customFormat="1" ht="15" customHeight="1">
      <c r="A16" s="830" t="s">
        <v>291</v>
      </c>
      <c r="B16" s="834">
        <f>'[13]2Q06 Trial Balance'!D455</f>
        <v>8925.59</v>
      </c>
      <c r="C16" s="834">
        <v>0</v>
      </c>
      <c r="D16" s="834">
        <v>0</v>
      </c>
      <c r="E16" s="834">
        <v>0</v>
      </c>
      <c r="F16" s="834">
        <v>0</v>
      </c>
      <c r="G16" s="829">
        <f aca="true" t="shared" si="1" ref="G16:G21">SUM(B16:F16)</f>
        <v>8925.59</v>
      </c>
    </row>
    <row r="17" spans="1:7" s="776" customFormat="1" ht="15" customHeight="1">
      <c r="A17" s="836" t="s">
        <v>292</v>
      </c>
      <c r="B17" s="834">
        <f>'[13]2Q06 Trial Balance'!D459</f>
        <v>50666</v>
      </c>
      <c r="C17" s="834">
        <v>0</v>
      </c>
      <c r="D17" s="834">
        <v>0</v>
      </c>
      <c r="E17" s="834">
        <v>0</v>
      </c>
      <c r="F17" s="834">
        <v>0</v>
      </c>
      <c r="G17" s="829">
        <f t="shared" si="1"/>
        <v>50666</v>
      </c>
    </row>
    <row r="18" spans="1:8" s="776" customFormat="1" ht="15" customHeight="1">
      <c r="A18" s="830" t="s">
        <v>294</v>
      </c>
      <c r="B18" s="834">
        <f>'[13]2Q06 Trial Balance'!D457</f>
        <v>3300</v>
      </c>
      <c r="C18" s="834">
        <v>0</v>
      </c>
      <c r="D18" s="834">
        <v>0</v>
      </c>
      <c r="E18" s="834">
        <v>0</v>
      </c>
      <c r="F18" s="834">
        <v>0</v>
      </c>
      <c r="G18" s="829">
        <f t="shared" si="1"/>
        <v>3300</v>
      </c>
      <c r="H18" s="780"/>
    </row>
    <row r="19" spans="1:7" s="776" customFormat="1" ht="15" customHeight="1">
      <c r="A19" s="836" t="s">
        <v>293</v>
      </c>
      <c r="B19" s="834">
        <f>'[13]2Q06 Trial Balance'!D450</f>
        <v>500184.64999999997</v>
      </c>
      <c r="C19" s="834">
        <f>'[13]2Q06 Trial Balance'!D443</f>
        <v>-9199.7</v>
      </c>
      <c r="D19" s="834">
        <f>'[13]2Q06 Trial Balance'!D436</f>
        <v>-258.4</v>
      </c>
      <c r="E19" s="834">
        <f>'[13]2Q06 Trial Balance'!D431</f>
        <v>-45.3</v>
      </c>
      <c r="F19" s="834">
        <v>0</v>
      </c>
      <c r="G19" s="829">
        <f>SUM(B19:F19)+1</f>
        <v>490682.24999999994</v>
      </c>
    </row>
    <row r="20" spans="1:7" s="776" customFormat="1" ht="15" customHeight="1">
      <c r="A20" s="830" t="s">
        <v>295</v>
      </c>
      <c r="B20" s="834">
        <f>'Earned Incurred QTD-5'!C39</f>
        <v>1150168.9900000007</v>
      </c>
      <c r="C20" s="834">
        <v>0</v>
      </c>
      <c r="D20" s="834">
        <v>0</v>
      </c>
      <c r="E20" s="834">
        <v>0</v>
      </c>
      <c r="F20" s="834">
        <v>0</v>
      </c>
      <c r="G20" s="829">
        <f t="shared" si="1"/>
        <v>1150168.9900000007</v>
      </c>
    </row>
    <row r="21" spans="1:7" s="776" customFormat="1" ht="15" customHeight="1">
      <c r="A21" s="830" t="s">
        <v>93</v>
      </c>
      <c r="B21" s="829">
        <f>30499.4+11175</f>
        <v>41674.4</v>
      </c>
      <c r="C21" s="829">
        <v>11475</v>
      </c>
      <c r="D21" s="829">
        <v>0</v>
      </c>
      <c r="E21" s="829">
        <v>0</v>
      </c>
      <c r="F21" s="829">
        <v>0</v>
      </c>
      <c r="G21" s="829">
        <f t="shared" si="1"/>
        <v>53149.4</v>
      </c>
    </row>
    <row r="22" spans="1:7" s="776" customFormat="1" ht="15" customHeight="1" thickBot="1">
      <c r="A22" s="830" t="s">
        <v>286</v>
      </c>
      <c r="B22" s="831">
        <f aca="true" t="shared" si="2" ref="B22:G22">SUM(B13:B21)</f>
        <v>1923685.1200000006</v>
      </c>
      <c r="C22" s="831">
        <f t="shared" si="2"/>
        <v>3141505.9099999997</v>
      </c>
      <c r="D22" s="831">
        <f t="shared" si="2"/>
        <v>277176.54</v>
      </c>
      <c r="E22" s="831">
        <f t="shared" si="2"/>
        <v>10639.52</v>
      </c>
      <c r="F22" s="831">
        <f>SUM(F13:F21)+1</f>
        <v>-13287.75</v>
      </c>
      <c r="G22" s="833">
        <f t="shared" si="2"/>
        <v>5339720.340000001</v>
      </c>
    </row>
    <row r="23" spans="1:7" s="776" customFormat="1" ht="15" customHeight="1" thickTop="1">
      <c r="A23" s="830"/>
      <c r="B23" s="834"/>
      <c r="C23" s="834"/>
      <c r="D23" s="834"/>
      <c r="E23" s="829"/>
      <c r="F23" s="829"/>
      <c r="G23" s="829"/>
    </row>
    <row r="24" spans="1:7" s="776" customFormat="1" ht="15" customHeight="1" thickBot="1">
      <c r="A24" s="837" t="s">
        <v>296</v>
      </c>
      <c r="B24" s="838">
        <f>B10-B22</f>
        <v>4052115.309999999</v>
      </c>
      <c r="C24" s="838">
        <f>C10-C22</f>
        <v>-3244492.9099999997</v>
      </c>
      <c r="D24" s="838">
        <f>D10-D22</f>
        <v>-279760.54</v>
      </c>
      <c r="E24" s="838">
        <f>E10-E22</f>
        <v>-11092.52</v>
      </c>
      <c r="F24" s="838">
        <f>F10-F22</f>
        <v>13287.75</v>
      </c>
      <c r="G24" s="833">
        <f>SUM(B24:F24)-1</f>
        <v>530056.0899999994</v>
      </c>
    </row>
    <row r="25" spans="1:7" s="776" customFormat="1" ht="15" customHeight="1" thickTop="1">
      <c r="A25" s="830"/>
      <c r="B25" s="834"/>
      <c r="C25" s="834"/>
      <c r="D25" s="834"/>
      <c r="E25" s="829"/>
      <c r="F25" s="829"/>
      <c r="G25" s="829"/>
    </row>
    <row r="26" spans="1:7" s="776" customFormat="1" ht="15" customHeight="1">
      <c r="A26" s="824" t="s">
        <v>297</v>
      </c>
      <c r="B26" s="826"/>
      <c r="C26" s="826"/>
      <c r="D26" s="826"/>
      <c r="E26" s="835"/>
      <c r="F26" s="835"/>
      <c r="G26" s="829"/>
    </row>
    <row r="27" spans="1:7" s="776" customFormat="1" ht="15" customHeight="1">
      <c r="A27" s="830" t="s">
        <v>298</v>
      </c>
      <c r="B27" s="829">
        <f>'Earned Incurred QTD-5'!B50</f>
        <v>139436.98</v>
      </c>
      <c r="C27" s="829">
        <v>0</v>
      </c>
      <c r="D27" s="829">
        <v>0</v>
      </c>
      <c r="E27" s="829">
        <v>0</v>
      </c>
      <c r="F27" s="829">
        <v>0</v>
      </c>
      <c r="G27" s="829">
        <f>SUM(B27:F27)</f>
        <v>139436.98</v>
      </c>
    </row>
    <row r="28" spans="1:8" s="776" customFormat="1" ht="15" customHeight="1">
      <c r="A28" s="830" t="s">
        <v>299</v>
      </c>
      <c r="B28" s="834">
        <f>'Balance Sheet-1'!D14</f>
        <v>1019137.0800000001</v>
      </c>
      <c r="C28" s="834">
        <v>0</v>
      </c>
      <c r="D28" s="834">
        <v>0</v>
      </c>
      <c r="E28" s="834">
        <v>0</v>
      </c>
      <c r="F28" s="834">
        <v>0</v>
      </c>
      <c r="G28" s="829">
        <f>SUM(B28:F28)</f>
        <v>1019137.0800000001</v>
      </c>
      <c r="H28" s="780"/>
    </row>
    <row r="29" spans="1:7" s="776" customFormat="1" ht="15" customHeight="1" thickBot="1">
      <c r="A29" s="830" t="s">
        <v>286</v>
      </c>
      <c r="B29" s="832">
        <f aca="true" t="shared" si="3" ref="B29:G29">SUM(B27:B28)</f>
        <v>1158574.06</v>
      </c>
      <c r="C29" s="832">
        <f t="shared" si="3"/>
        <v>0</v>
      </c>
      <c r="D29" s="832">
        <f t="shared" si="3"/>
        <v>0</v>
      </c>
      <c r="E29" s="832">
        <f t="shared" si="3"/>
        <v>0</v>
      </c>
      <c r="F29" s="832">
        <f t="shared" si="3"/>
        <v>0</v>
      </c>
      <c r="G29" s="833">
        <f t="shared" si="3"/>
        <v>1158574.06</v>
      </c>
    </row>
    <row r="30" spans="1:7" s="776" customFormat="1" ht="15" customHeight="1" thickTop="1">
      <c r="A30" s="830"/>
      <c r="B30" s="834"/>
      <c r="C30" s="834"/>
      <c r="D30" s="834"/>
      <c r="E30" s="829"/>
      <c r="F30" s="829"/>
      <c r="G30" s="829"/>
    </row>
    <row r="31" spans="1:7" s="776" customFormat="1" ht="15" customHeight="1">
      <c r="A31" s="824" t="s">
        <v>300</v>
      </c>
      <c r="B31" s="826"/>
      <c r="C31" s="826"/>
      <c r="D31" s="826"/>
      <c r="E31" s="835"/>
      <c r="F31" s="835"/>
      <c r="G31" s="829"/>
    </row>
    <row r="32" spans="1:7" s="776" customFormat="1" ht="15" customHeight="1">
      <c r="A32" s="830" t="s">
        <v>301</v>
      </c>
      <c r="B32" s="829">
        <f>'Earned Incurred YTD-6'!B49</f>
        <v>169580.82</v>
      </c>
      <c r="C32" s="829">
        <v>0</v>
      </c>
      <c r="D32" s="829">
        <v>0</v>
      </c>
      <c r="E32" s="829">
        <v>0</v>
      </c>
      <c r="F32" s="829">
        <v>0</v>
      </c>
      <c r="G32" s="829">
        <f>SUM(B32:F32)</f>
        <v>169580.82</v>
      </c>
    </row>
    <row r="33" spans="1:9" s="776" customFormat="1" ht="15" customHeight="1">
      <c r="A33" s="830" t="s">
        <v>302</v>
      </c>
      <c r="B33" s="834">
        <f>'[14]Balance Sheet-1'!$D$13</f>
        <v>970455.2300000001</v>
      </c>
      <c r="C33" s="834">
        <v>0</v>
      </c>
      <c r="D33" s="834">
        <v>0</v>
      </c>
      <c r="E33" s="834">
        <v>0</v>
      </c>
      <c r="F33" s="834">
        <v>0</v>
      </c>
      <c r="G33" s="829">
        <f>SUM(B33:F33)</f>
        <v>970455.2300000001</v>
      </c>
      <c r="H33" s="780"/>
      <c r="I33" s="780"/>
    </row>
    <row r="34" spans="1:8" s="776" customFormat="1" ht="15" customHeight="1" thickBot="1">
      <c r="A34" s="830" t="s">
        <v>286</v>
      </c>
      <c r="B34" s="832">
        <f aca="true" t="shared" si="4" ref="B34:G34">SUM(B32:B33)</f>
        <v>1140036.05</v>
      </c>
      <c r="C34" s="832">
        <f t="shared" si="4"/>
        <v>0</v>
      </c>
      <c r="D34" s="832">
        <f t="shared" si="4"/>
        <v>0</v>
      </c>
      <c r="E34" s="832">
        <f t="shared" si="4"/>
        <v>0</v>
      </c>
      <c r="F34" s="832">
        <f t="shared" si="4"/>
        <v>0</v>
      </c>
      <c r="G34" s="833">
        <f t="shared" si="4"/>
        <v>1140036.05</v>
      </c>
      <c r="H34" s="780"/>
    </row>
    <row r="35" spans="1:7" s="776" customFormat="1" ht="15" customHeight="1" thickTop="1">
      <c r="A35" s="830"/>
      <c r="B35" s="834"/>
      <c r="C35" s="834"/>
      <c r="D35" s="834"/>
      <c r="E35" s="829"/>
      <c r="F35" s="829"/>
      <c r="G35" s="839"/>
    </row>
    <row r="36" spans="1:7" s="776" customFormat="1" ht="15" customHeight="1" thickBot="1">
      <c r="A36" s="824" t="s">
        <v>303</v>
      </c>
      <c r="B36" s="838">
        <f>B24-B29+B34</f>
        <v>4033577.299999999</v>
      </c>
      <c r="C36" s="838">
        <f>C24-C29+C34</f>
        <v>-3244492.9099999997</v>
      </c>
      <c r="D36" s="838">
        <f>D24-D29+D34</f>
        <v>-279760.54</v>
      </c>
      <c r="E36" s="838">
        <f>E24-E29+E34</f>
        <v>-11092.52</v>
      </c>
      <c r="F36" s="838">
        <f>F24-F29+F34</f>
        <v>13287.75</v>
      </c>
      <c r="G36" s="833">
        <f>SUM(B36:F36)-1</f>
        <v>511518.0799999992</v>
      </c>
    </row>
    <row r="37" spans="1:7" s="776" customFormat="1" ht="15" customHeight="1" thickTop="1">
      <c r="A37" s="830"/>
      <c r="B37" s="834"/>
      <c r="C37" s="834"/>
      <c r="D37" s="834"/>
      <c r="E37" s="829"/>
      <c r="F37" s="829"/>
      <c r="G37" s="829"/>
    </row>
    <row r="38" spans="1:7" s="776" customFormat="1" ht="15" customHeight="1">
      <c r="A38" s="840" t="s">
        <v>97</v>
      </c>
      <c r="B38" s="841"/>
      <c r="C38" s="841"/>
      <c r="D38" s="841"/>
      <c r="E38" s="829"/>
      <c r="F38" s="829"/>
      <c r="G38" s="829"/>
    </row>
    <row r="39" spans="1:7" s="776" customFormat="1" ht="15" customHeight="1">
      <c r="A39" s="830" t="s">
        <v>261</v>
      </c>
      <c r="B39" s="829">
        <f>'Equity YTD-4'!B39</f>
        <v>8236706</v>
      </c>
      <c r="C39" s="829">
        <f>'Equity YTD-4'!C39</f>
        <v>2820685</v>
      </c>
      <c r="D39" s="829">
        <f>'Equity YTD-4'!D39</f>
        <v>0</v>
      </c>
      <c r="E39" s="829">
        <f>'Equity YTD-4'!E39</f>
        <v>0</v>
      </c>
      <c r="F39" s="829">
        <f>'Equity YTD-4'!F39</f>
        <v>0</v>
      </c>
      <c r="G39" s="829">
        <f>SUM(B39:F39)</f>
        <v>11057391</v>
      </c>
    </row>
    <row r="40" spans="1:7" s="776" customFormat="1" ht="15" customHeight="1">
      <c r="A40" s="830" t="s">
        <v>304</v>
      </c>
      <c r="B40" s="829">
        <f>'Equity YTD-4'!B40</f>
        <v>1513739.79</v>
      </c>
      <c r="C40" s="829">
        <f>'Equity YTD-4'!C40</f>
        <v>3201048.1100000003</v>
      </c>
      <c r="D40" s="829">
        <f>'Equity YTD-4'!D40</f>
        <v>217837</v>
      </c>
      <c r="E40" s="829">
        <f>'Equity YTD-4'!E40</f>
        <v>85738.65</v>
      </c>
      <c r="F40" s="829">
        <f>'Equity YTD-4'!F40</f>
        <v>7759</v>
      </c>
      <c r="G40" s="829">
        <f>SUM(B40:F40)</f>
        <v>5026122.550000001</v>
      </c>
    </row>
    <row r="41" spans="1:7" s="776" customFormat="1" ht="15" customHeight="1">
      <c r="A41" s="830" t="s">
        <v>305</v>
      </c>
      <c r="B41" s="829">
        <f>'Equity YTD-4'!B41</f>
        <v>150717.19999999998</v>
      </c>
      <c r="C41" s="829">
        <f>'Equity YTD-4'!C41</f>
        <v>353667.78</v>
      </c>
      <c r="D41" s="829">
        <f>'Equity YTD-4'!D41</f>
        <v>67471.48</v>
      </c>
      <c r="E41" s="829">
        <f>'Equity YTD-4'!E41</f>
        <v>35616.4</v>
      </c>
      <c r="F41" s="829">
        <f>'Equity YTD-4'!F41</f>
        <v>3944.75</v>
      </c>
      <c r="G41" s="829">
        <f>SUM(B41:F41)-1</f>
        <v>611416.61</v>
      </c>
    </row>
    <row r="42" spans="1:7" s="776" customFormat="1" ht="15" customHeight="1">
      <c r="A42" s="830" t="s">
        <v>306</v>
      </c>
      <c r="B42" s="829">
        <f>'Equity YTD-4'!B42</f>
        <v>310412.15</v>
      </c>
      <c r="C42" s="834">
        <f>'Equity YTD-4'!C42</f>
        <v>0</v>
      </c>
      <c r="D42" s="834">
        <f>'Equity YTD-4'!D42</f>
        <v>0</v>
      </c>
      <c r="E42" s="834">
        <f>'Equity YTD-4'!E42</f>
        <v>0</v>
      </c>
      <c r="F42" s="829">
        <f>'Equity YTD-4'!F42</f>
        <v>0</v>
      </c>
      <c r="G42" s="829">
        <f>SUM(B42:F42)</f>
        <v>310412.15</v>
      </c>
    </row>
    <row r="43" spans="1:7" s="776" customFormat="1" ht="15" customHeight="1">
      <c r="A43" s="830" t="s">
        <v>307</v>
      </c>
      <c r="B43" s="829">
        <f>'Equity YTD-4'!B43</f>
        <v>15977.01</v>
      </c>
      <c r="C43" s="834">
        <f>'Equity YTD-4'!C43</f>
        <v>0</v>
      </c>
      <c r="D43" s="829">
        <f>'Equity YTD-4'!D43</f>
        <v>0</v>
      </c>
      <c r="E43" s="834">
        <f>'Equity YTD-4'!E43</f>
        <v>0</v>
      </c>
      <c r="F43" s="829">
        <f>'Equity YTD-4'!F43</f>
        <v>0</v>
      </c>
      <c r="G43" s="829">
        <f>SUM(B43:F43)</f>
        <v>15977.01</v>
      </c>
    </row>
    <row r="44" spans="1:7" s="776" customFormat="1" ht="15" customHeight="1" thickBot="1">
      <c r="A44" s="842" t="s">
        <v>286</v>
      </c>
      <c r="B44" s="832">
        <f>SUM(B39:B43)</f>
        <v>10227552.149999999</v>
      </c>
      <c r="C44" s="832">
        <f>SUM(C39:C43)</f>
        <v>6375400.890000001</v>
      </c>
      <c r="D44" s="832">
        <f>SUM(D39:D43)</f>
        <v>285308.48</v>
      </c>
      <c r="E44" s="832">
        <f>SUM(E39:E43)</f>
        <v>121355.04999999999</v>
      </c>
      <c r="F44" s="832">
        <f>SUM(F39:F43)</f>
        <v>11703.75</v>
      </c>
      <c r="G44" s="833">
        <f>SUM(G39:G43)+1</f>
        <v>17021320.32</v>
      </c>
    </row>
    <row r="45" spans="1:7" s="776" customFormat="1" ht="15" customHeight="1" thickTop="1">
      <c r="A45" s="830"/>
      <c r="B45" s="834"/>
      <c r="C45" s="834"/>
      <c r="D45" s="834"/>
      <c r="E45" s="829"/>
      <c r="F45" s="829"/>
      <c r="G45" s="829"/>
    </row>
    <row r="46" spans="1:7" s="776" customFormat="1" ht="15" customHeight="1">
      <c r="A46" s="840" t="s">
        <v>98</v>
      </c>
      <c r="B46" s="841"/>
      <c r="C46" s="841"/>
      <c r="D46" s="841"/>
      <c r="E46" s="829"/>
      <c r="F46" s="829"/>
      <c r="G46" s="829"/>
    </row>
    <row r="47" spans="1:7" s="776" customFormat="1" ht="15" customHeight="1">
      <c r="A47" s="830" t="s">
        <v>261</v>
      </c>
      <c r="B47" s="829">
        <f>'[14]Equity QTD-3'!B39</f>
        <v>4545630</v>
      </c>
      <c r="C47" s="829">
        <f>'[14]Equity QTD-3'!C39</f>
        <v>6527204</v>
      </c>
      <c r="D47" s="829">
        <f>'[14]Equity QTD-3'!D39</f>
        <v>0</v>
      </c>
      <c r="E47" s="829">
        <f>'[14]Equity QTD-3'!E39</f>
        <v>0</v>
      </c>
      <c r="F47" s="829">
        <f>'[14]Equity QTD-3'!F39</f>
        <v>0</v>
      </c>
      <c r="G47" s="829">
        <f aca="true" t="shared" si="5" ref="G47:G52">SUM(B47:F47)</f>
        <v>11072834</v>
      </c>
    </row>
    <row r="48" spans="1:7" s="776" customFormat="1" ht="15" customHeight="1">
      <c r="A48" s="830" t="s">
        <v>304</v>
      </c>
      <c r="B48" s="829">
        <f>'[14]Equity QTD-3'!B40</f>
        <v>474681</v>
      </c>
      <c r="C48" s="829">
        <f>'[14]Equity QTD-3'!C40</f>
        <v>4160459.92</v>
      </c>
      <c r="D48" s="829">
        <f>'[14]Equity QTD-3'!D40+1</f>
        <v>413548.31999999995</v>
      </c>
      <c r="E48" s="829">
        <f>'[14]Equity QTD-3'!E40</f>
        <v>98184.55</v>
      </c>
      <c r="F48" s="829">
        <f>'[14]Equity QTD-3'!F40</f>
        <v>0</v>
      </c>
      <c r="G48" s="829">
        <f t="shared" si="5"/>
        <v>5146873.79</v>
      </c>
    </row>
    <row r="49" spans="1:7" s="776" customFormat="1" ht="15" customHeight="1">
      <c r="A49" s="830" t="s">
        <v>308</v>
      </c>
      <c r="B49" s="829">
        <f>'[14]Equity QTD-3'!B41</f>
        <v>57834.24</v>
      </c>
      <c r="C49" s="829">
        <f>'[14]Equity QTD-3'!C41</f>
        <v>407836.99999999994</v>
      </c>
      <c r="D49" s="829">
        <f>'[14]Equity QTD-3'!D41</f>
        <v>95345.32</v>
      </c>
      <c r="E49" s="829">
        <f>'[14]Equity QTD-3'!E41</f>
        <v>41530.74</v>
      </c>
      <c r="F49" s="829">
        <f>'[14]Equity QTD-3'!F41</f>
        <v>0</v>
      </c>
      <c r="G49" s="829">
        <f>SUM(B49:F49)</f>
        <v>602547.2999999999</v>
      </c>
    </row>
    <row r="50" spans="1:7" s="776" customFormat="1" ht="15" customHeight="1">
      <c r="A50" s="830" t="s">
        <v>306</v>
      </c>
      <c r="B50" s="829">
        <f>'[14]Equity QTD-3'!B42</f>
        <v>314400.39</v>
      </c>
      <c r="C50" s="829">
        <f>'[14]Equity QTD-3'!C42</f>
        <v>0</v>
      </c>
      <c r="D50" s="834">
        <f>'[14]Equity QTD-3'!D42</f>
        <v>0</v>
      </c>
      <c r="E50" s="834">
        <f>'[14]Equity QTD-3'!E42</f>
        <v>0</v>
      </c>
      <c r="F50" s="829">
        <f>'[14]Equity QTD-3'!F42</f>
        <v>0</v>
      </c>
      <c r="G50" s="829">
        <f t="shared" si="5"/>
        <v>314400.39</v>
      </c>
    </row>
    <row r="51" spans="1:7" s="776" customFormat="1" ht="15" customHeight="1">
      <c r="A51" s="830" t="s">
        <v>307</v>
      </c>
      <c r="B51" s="829">
        <f>'[14]Equity QTD-3'!B43</f>
        <v>47029.86</v>
      </c>
      <c r="C51" s="829">
        <f>'[14]Equity QTD-3'!C43</f>
        <v>0</v>
      </c>
      <c r="D51" s="829">
        <f>'[14]Equity QTD-3'!D43</f>
        <v>0</v>
      </c>
      <c r="E51" s="834">
        <f>'[14]Equity QTD-3'!E43</f>
        <v>0</v>
      </c>
      <c r="F51" s="829">
        <f>'[14]Equity QTD-3'!F43</f>
        <v>0</v>
      </c>
      <c r="G51" s="829">
        <f t="shared" si="5"/>
        <v>47029.86</v>
      </c>
    </row>
    <row r="52" spans="1:7" s="776" customFormat="1" ht="15" customHeight="1" thickBot="1">
      <c r="A52" s="830" t="s">
        <v>286</v>
      </c>
      <c r="B52" s="832">
        <f>SUM(B47:B51)</f>
        <v>5439575.49</v>
      </c>
      <c r="C52" s="832">
        <f>SUM(C47:C51)</f>
        <v>11095500.92</v>
      </c>
      <c r="D52" s="832">
        <f>SUM(D47:D51)-1</f>
        <v>508892.63999999996</v>
      </c>
      <c r="E52" s="832">
        <f>SUM(E47:E51)+1</f>
        <v>139716.29</v>
      </c>
      <c r="F52" s="832">
        <f>SUM(F47:F51)</f>
        <v>0</v>
      </c>
      <c r="G52" s="833">
        <f t="shared" si="5"/>
        <v>17183685.34</v>
      </c>
    </row>
    <row r="53" spans="1:7" s="776" customFormat="1" ht="15" customHeight="1" thickTop="1">
      <c r="A53" s="830"/>
      <c r="B53" s="834"/>
      <c r="C53" s="834"/>
      <c r="D53" s="834"/>
      <c r="E53" s="834"/>
      <c r="F53" s="834"/>
      <c r="G53" s="485"/>
    </row>
    <row r="54" spans="1:8" s="776" customFormat="1" ht="15" customHeight="1" thickBot="1">
      <c r="A54" s="837" t="s">
        <v>309</v>
      </c>
      <c r="B54" s="843">
        <f>B36-B44+B52-1</f>
        <v>-754400.3599999994</v>
      </c>
      <c r="C54" s="843">
        <f>C36-C44+C52</f>
        <v>1475607.1199999992</v>
      </c>
      <c r="D54" s="843">
        <f>D36-D44+D52</f>
        <v>-56176.38000000006</v>
      </c>
      <c r="E54" s="843">
        <f>E36-E44+E52-1</f>
        <v>7267.72000000003</v>
      </c>
      <c r="F54" s="843">
        <f>F36-F44+F52</f>
        <v>1584</v>
      </c>
      <c r="G54" s="843">
        <f>G36-G44+G52+1</f>
        <v>673884.0999999996</v>
      </c>
      <c r="H54" s="780"/>
    </row>
    <row r="55" spans="1:8" s="776" customFormat="1" ht="15" customHeight="1" thickTop="1">
      <c r="A55" s="779"/>
      <c r="B55" s="780"/>
      <c r="C55" s="780"/>
      <c r="D55" s="802"/>
      <c r="E55" s="802"/>
      <c r="F55" s="802"/>
      <c r="G55" s="775"/>
      <c r="H55" s="780"/>
    </row>
    <row r="56" spans="1:9" s="776" customFormat="1" ht="15" customHeight="1">
      <c r="A56" s="779"/>
      <c r="B56" s="780"/>
      <c r="C56" s="780"/>
      <c r="D56" s="802"/>
      <c r="E56" s="802"/>
      <c r="F56" s="802"/>
      <c r="G56" s="775"/>
      <c r="I56" s="780"/>
    </row>
    <row r="57" spans="1:7" s="776" customFormat="1" ht="15" customHeight="1">
      <c r="A57" s="779"/>
      <c r="B57" s="780"/>
      <c r="C57" s="780"/>
      <c r="D57" s="802"/>
      <c r="E57" s="802"/>
      <c r="F57" s="802"/>
      <c r="G57" s="802"/>
    </row>
    <row r="58" spans="2:7" s="776" customFormat="1" ht="15" customHeight="1">
      <c r="B58" s="780"/>
      <c r="C58" s="780"/>
      <c r="D58" s="802"/>
      <c r="E58" s="802"/>
      <c r="F58" s="802"/>
      <c r="G58" s="802"/>
    </row>
    <row r="59" spans="2:7" s="776" customFormat="1" ht="15" customHeight="1">
      <c r="B59" s="780"/>
      <c r="C59" s="780"/>
      <c r="D59" s="802"/>
      <c r="E59" s="802"/>
      <c r="F59" s="802"/>
      <c r="G59" s="802"/>
    </row>
    <row r="60" spans="2:7" s="776" customFormat="1" ht="15" customHeight="1">
      <c r="B60" s="780"/>
      <c r="C60" s="780"/>
      <c r="D60" s="802"/>
      <c r="E60" s="802"/>
      <c r="F60" s="802"/>
      <c r="G60" s="802"/>
    </row>
    <row r="61" spans="1:7" s="776" customFormat="1" ht="15" customHeight="1">
      <c r="A61" s="778"/>
      <c r="B61" s="803"/>
      <c r="C61" s="803"/>
      <c r="D61" s="802"/>
      <c r="E61" s="802"/>
      <c r="F61" s="802"/>
      <c r="G61" s="802"/>
    </row>
    <row r="62" spans="2:7" s="776" customFormat="1" ht="15" customHeight="1">
      <c r="B62" s="780"/>
      <c r="C62" s="780"/>
      <c r="D62" s="802"/>
      <c r="E62" s="802"/>
      <c r="F62" s="802"/>
      <c r="G62" s="775"/>
    </row>
    <row r="63" spans="2:7" s="776" customFormat="1" ht="15" customHeight="1">
      <c r="B63" s="780"/>
      <c r="C63" s="780"/>
      <c r="D63" s="802"/>
      <c r="E63" s="802"/>
      <c r="F63" s="802"/>
      <c r="G63" s="775"/>
    </row>
    <row r="64" spans="2:7" s="776" customFormat="1" ht="15" customHeight="1">
      <c r="B64" s="780"/>
      <c r="C64" s="780"/>
      <c r="D64" s="802"/>
      <c r="E64" s="802"/>
      <c r="F64" s="802"/>
      <c r="G64" s="775"/>
    </row>
    <row r="65" spans="2:7" s="776" customFormat="1" ht="15" customHeight="1">
      <c r="B65" s="780"/>
      <c r="C65" s="780"/>
      <c r="D65" s="802"/>
      <c r="E65" s="802"/>
      <c r="F65" s="802"/>
      <c r="G65" s="775"/>
    </row>
    <row r="66" spans="2:7" s="776" customFormat="1" ht="15" customHeight="1">
      <c r="B66" s="780"/>
      <c r="C66" s="780"/>
      <c r="D66" s="802"/>
      <c r="E66" s="802"/>
      <c r="F66" s="802"/>
      <c r="G66" s="775"/>
    </row>
    <row r="67" spans="2:7" s="776" customFormat="1" ht="15" customHeight="1">
      <c r="B67" s="780"/>
      <c r="C67" s="780"/>
      <c r="D67" s="802"/>
      <c r="E67" s="802"/>
      <c r="F67" s="802"/>
      <c r="G67" s="775"/>
    </row>
    <row r="68" spans="2:7" s="776" customFormat="1" ht="15" customHeight="1">
      <c r="B68" s="780"/>
      <c r="C68" s="780"/>
      <c r="D68" s="802"/>
      <c r="E68" s="802"/>
      <c r="F68" s="802"/>
      <c r="G68" s="775"/>
    </row>
    <row r="69" spans="2:7" s="776" customFormat="1" ht="15" customHeight="1">
      <c r="B69" s="780"/>
      <c r="C69" s="780"/>
      <c r="D69" s="802"/>
      <c r="E69" s="802"/>
      <c r="F69" s="802"/>
      <c r="G69" s="775"/>
    </row>
    <row r="70" spans="2:7" s="776" customFormat="1" ht="15" customHeight="1">
      <c r="B70" s="780"/>
      <c r="C70" s="780"/>
      <c r="D70" s="802"/>
      <c r="E70" s="802"/>
      <c r="F70" s="802"/>
      <c r="G70" s="775"/>
    </row>
    <row r="71" spans="2:7" s="776" customFormat="1" ht="15" customHeight="1">
      <c r="B71" s="780"/>
      <c r="C71" s="780"/>
      <c r="D71" s="802"/>
      <c r="E71" s="802"/>
      <c r="F71" s="802"/>
      <c r="G71" s="775"/>
    </row>
    <row r="72" spans="2:7" s="776" customFormat="1" ht="15" customHeight="1">
      <c r="B72" s="780"/>
      <c r="C72" s="780"/>
      <c r="D72" s="802"/>
      <c r="E72" s="802"/>
      <c r="F72" s="802"/>
      <c r="G72" s="775"/>
    </row>
    <row r="73" spans="2:7" s="776" customFormat="1" ht="15" customHeight="1">
      <c r="B73" s="780"/>
      <c r="C73" s="780"/>
      <c r="D73" s="802"/>
      <c r="E73" s="802"/>
      <c r="F73" s="802"/>
      <c r="G73" s="775"/>
    </row>
    <row r="74" spans="2:7" s="776" customFormat="1" ht="15" customHeight="1">
      <c r="B74" s="780"/>
      <c r="C74" s="780"/>
      <c r="D74" s="802"/>
      <c r="E74" s="802"/>
      <c r="F74" s="802"/>
      <c r="G74" s="775"/>
    </row>
    <row r="75" spans="2:7" s="776" customFormat="1" ht="15" customHeight="1">
      <c r="B75" s="780"/>
      <c r="C75" s="780"/>
      <c r="D75" s="802"/>
      <c r="E75" s="802"/>
      <c r="F75" s="802"/>
      <c r="G75" s="775"/>
    </row>
    <row r="76" spans="2:7" s="776" customFormat="1" ht="15" customHeight="1">
      <c r="B76" s="780"/>
      <c r="C76" s="780"/>
      <c r="D76" s="802"/>
      <c r="E76" s="802"/>
      <c r="F76" s="802"/>
      <c r="G76" s="775"/>
    </row>
    <row r="77" spans="2:7" s="776" customFormat="1" ht="15" customHeight="1">
      <c r="B77" s="780"/>
      <c r="C77" s="780"/>
      <c r="D77" s="802"/>
      <c r="E77" s="802"/>
      <c r="F77" s="802"/>
      <c r="G77" s="775"/>
    </row>
    <row r="78" spans="2:7" s="776" customFormat="1" ht="15" customHeight="1">
      <c r="B78" s="780"/>
      <c r="C78" s="780"/>
      <c r="D78" s="802"/>
      <c r="E78" s="802"/>
      <c r="F78" s="802"/>
      <c r="G78" s="775"/>
    </row>
    <row r="79" spans="2:7" s="776" customFormat="1" ht="15" customHeight="1">
      <c r="B79" s="780"/>
      <c r="C79" s="780"/>
      <c r="D79" s="802"/>
      <c r="E79" s="802"/>
      <c r="F79" s="802"/>
      <c r="G79" s="775"/>
    </row>
    <row r="80" spans="2:7" s="776" customFormat="1" ht="15" customHeight="1">
      <c r="B80" s="780"/>
      <c r="C80" s="780"/>
      <c r="D80" s="802"/>
      <c r="E80" s="802"/>
      <c r="F80" s="802"/>
      <c r="G80" s="775"/>
    </row>
    <row r="81" spans="2:7" s="776" customFormat="1" ht="15" customHeight="1">
      <c r="B81" s="780"/>
      <c r="C81" s="780"/>
      <c r="D81" s="802"/>
      <c r="E81" s="802"/>
      <c r="F81" s="802"/>
      <c r="G81" s="775"/>
    </row>
    <row r="82" spans="2:7" s="776" customFormat="1" ht="15" customHeight="1">
      <c r="B82" s="780"/>
      <c r="C82" s="780"/>
      <c r="D82" s="802"/>
      <c r="E82" s="802"/>
      <c r="F82" s="802"/>
      <c r="G82" s="775"/>
    </row>
    <row r="83" spans="2:7" s="776" customFormat="1" ht="15" customHeight="1">
      <c r="B83" s="780"/>
      <c r="C83" s="780"/>
      <c r="D83" s="802"/>
      <c r="E83" s="802"/>
      <c r="F83" s="802"/>
      <c r="G83" s="775"/>
    </row>
    <row r="84" spans="2:7" s="776" customFormat="1" ht="15" customHeight="1">
      <c r="B84" s="780"/>
      <c r="C84" s="780"/>
      <c r="D84" s="802"/>
      <c r="E84" s="802"/>
      <c r="F84" s="802"/>
      <c r="G84" s="775"/>
    </row>
    <row r="85" spans="2:7" s="776" customFormat="1" ht="15" customHeight="1">
      <c r="B85" s="780"/>
      <c r="C85" s="780"/>
      <c r="D85" s="802"/>
      <c r="E85" s="802"/>
      <c r="F85" s="802"/>
      <c r="G85" s="775"/>
    </row>
    <row r="86" spans="2:7" s="776" customFormat="1" ht="15" customHeight="1">
      <c r="B86" s="780"/>
      <c r="C86" s="780"/>
      <c r="D86" s="802"/>
      <c r="E86" s="802"/>
      <c r="F86" s="802"/>
      <c r="G86" s="775"/>
    </row>
    <row r="87" spans="2:7" s="776" customFormat="1" ht="15" customHeight="1">
      <c r="B87" s="780"/>
      <c r="C87" s="780"/>
      <c r="D87" s="802"/>
      <c r="E87" s="802"/>
      <c r="F87" s="802"/>
      <c r="G87" s="775"/>
    </row>
    <row r="88" spans="2:7" s="776" customFormat="1" ht="15" customHeight="1">
      <c r="B88" s="780"/>
      <c r="C88" s="780"/>
      <c r="D88" s="802"/>
      <c r="E88" s="802"/>
      <c r="F88" s="802"/>
      <c r="G88"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8.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13" t="s">
        <v>248</v>
      </c>
      <c r="B1" s="913"/>
      <c r="C1" s="913"/>
      <c r="D1" s="913"/>
      <c r="E1" s="913"/>
      <c r="F1" s="913"/>
      <c r="G1" s="913"/>
    </row>
    <row r="2" spans="1:7" s="27" customFormat="1" ht="15" customHeight="1">
      <c r="A2" s="914"/>
      <c r="B2" s="914"/>
      <c r="C2" s="914"/>
      <c r="D2" s="914"/>
      <c r="E2" s="914"/>
      <c r="F2" s="914"/>
      <c r="G2" s="914"/>
    </row>
    <row r="3" spans="1:7" s="774" customFormat="1" ht="15" customHeight="1">
      <c r="A3" s="915" t="s">
        <v>281</v>
      </c>
      <c r="B3" s="915"/>
      <c r="C3" s="915"/>
      <c r="D3" s="915"/>
      <c r="E3" s="915"/>
      <c r="F3" s="915"/>
      <c r="G3" s="915"/>
    </row>
    <row r="4" spans="1:7" s="774" customFormat="1" ht="15" customHeight="1">
      <c r="A4" s="915" t="s">
        <v>474</v>
      </c>
      <c r="B4" s="915"/>
      <c r="C4" s="915"/>
      <c r="D4" s="915"/>
      <c r="E4" s="915"/>
      <c r="F4" s="915"/>
      <c r="G4" s="915"/>
    </row>
    <row r="5" spans="1:7" s="29" customFormat="1" ht="15" customHeight="1">
      <c r="A5" s="381"/>
      <c r="B5" s="798"/>
      <c r="C5" s="798"/>
      <c r="D5" s="799"/>
      <c r="E5" s="800"/>
      <c r="F5" s="800"/>
      <c r="G5" s="801"/>
    </row>
    <row r="6" spans="1:7" s="777" customFormat="1" ht="30" customHeight="1">
      <c r="A6" s="823"/>
      <c r="B6" s="891" t="s">
        <v>476</v>
      </c>
      <c r="C6" s="891" t="s">
        <v>466</v>
      </c>
      <c r="D6" s="891" t="s">
        <v>190</v>
      </c>
      <c r="E6" s="891" t="s">
        <v>39</v>
      </c>
      <c r="F6" s="891" t="s">
        <v>477</v>
      </c>
      <c r="G6" s="891" t="s">
        <v>249</v>
      </c>
    </row>
    <row r="7" spans="1:7" s="778" customFormat="1" ht="15" customHeight="1">
      <c r="A7" s="824" t="s">
        <v>283</v>
      </c>
      <c r="B7" s="825"/>
      <c r="C7" s="825"/>
      <c r="D7" s="826"/>
      <c r="E7" s="826"/>
      <c r="F7" s="826"/>
      <c r="G7" s="826"/>
    </row>
    <row r="8" spans="1:7" s="776" customFormat="1" ht="15" customHeight="1">
      <c r="A8" s="827" t="s">
        <v>284</v>
      </c>
      <c r="B8" s="828">
        <f>'Premiums YTD-8'!B11</f>
        <v>10969663</v>
      </c>
      <c r="C8" s="828">
        <f>'Premiums YTD-8'!C11</f>
        <v>-41102</v>
      </c>
      <c r="D8" s="828">
        <f>'Premiums YTD-8'!D11</f>
        <v>-8799</v>
      </c>
      <c r="E8" s="828">
        <f>'Premiums YTD-8'!E11</f>
        <v>-453</v>
      </c>
      <c r="F8" s="829">
        <f>'Premiums YTD-8'!F11</f>
        <v>0</v>
      </c>
      <c r="G8" s="828">
        <f>SUM(B8:F8)</f>
        <v>10919309</v>
      </c>
    </row>
    <row r="9" spans="1:7" s="776" customFormat="1" ht="15" customHeight="1">
      <c r="A9" s="827" t="s">
        <v>285</v>
      </c>
      <c r="B9" s="829">
        <f>'Earned Incurred YTD-6'!C48</f>
        <v>385396.85</v>
      </c>
      <c r="C9" s="829">
        <v>0</v>
      </c>
      <c r="D9" s="829">
        <v>0</v>
      </c>
      <c r="E9" s="829">
        <v>0</v>
      </c>
      <c r="F9" s="829">
        <v>0</v>
      </c>
      <c r="G9" s="829">
        <f>SUM(B9:F9)</f>
        <v>385396.85</v>
      </c>
    </row>
    <row r="10" spans="1:7" s="776" customFormat="1" ht="15" customHeight="1" thickBot="1">
      <c r="A10" s="830" t="s">
        <v>286</v>
      </c>
      <c r="B10" s="831">
        <f aca="true" t="shared" si="0" ref="B10:G10">SUM(B8:B9)</f>
        <v>11355059.85</v>
      </c>
      <c r="C10" s="831">
        <f t="shared" si="0"/>
        <v>-41102</v>
      </c>
      <c r="D10" s="831">
        <f t="shared" si="0"/>
        <v>-8799</v>
      </c>
      <c r="E10" s="832">
        <f t="shared" si="0"/>
        <v>-453</v>
      </c>
      <c r="F10" s="832">
        <f t="shared" si="0"/>
        <v>0</v>
      </c>
      <c r="G10" s="833">
        <f t="shared" si="0"/>
        <v>11304705.85</v>
      </c>
    </row>
    <row r="11" spans="1:7" s="776" customFormat="1" ht="15" customHeight="1" thickTop="1">
      <c r="A11" s="830"/>
      <c r="B11" s="834"/>
      <c r="C11" s="834"/>
      <c r="D11" s="834"/>
      <c r="E11" s="829"/>
      <c r="F11" s="829"/>
      <c r="G11" s="829"/>
    </row>
    <row r="12" spans="1:7" s="776" customFormat="1" ht="15" customHeight="1">
      <c r="A12" s="824" t="s">
        <v>287</v>
      </c>
      <c r="B12" s="826"/>
      <c r="C12" s="826"/>
      <c r="D12" s="826"/>
      <c r="E12" s="835"/>
      <c r="F12" s="835"/>
      <c r="G12" s="829"/>
    </row>
    <row r="13" spans="1:7" s="776" customFormat="1" ht="15" customHeight="1">
      <c r="A13" s="830" t="s">
        <v>288</v>
      </c>
      <c r="B13" s="829">
        <f>'Losses Incurred YTD-10'!B13</f>
        <v>159448.62</v>
      </c>
      <c r="C13" s="829">
        <f>'Losses Incurred YTD-10'!C13</f>
        <v>5196725.21</v>
      </c>
      <c r="D13" s="829">
        <f>'Losses Incurred YTD-10'!D13</f>
        <v>1015496.61</v>
      </c>
      <c r="E13" s="829">
        <f>'Losses Incurred YTD-10'!E13</f>
        <v>28600.1</v>
      </c>
      <c r="F13" s="829">
        <f>'Losses Incurred YTD-10'!F13</f>
        <v>73015.42</v>
      </c>
      <c r="G13" s="829">
        <f>SUM(B13:F13)</f>
        <v>6473285.96</v>
      </c>
    </row>
    <row r="14" spans="1:7" s="776" customFormat="1" ht="15" customHeight="1">
      <c r="A14" s="830" t="s">
        <v>289</v>
      </c>
      <c r="B14" s="829">
        <f>'[11]Loss Expenses Paid YTD-16'!$C$37</f>
        <v>22215.449999999997</v>
      </c>
      <c r="C14" s="829">
        <f>'[11]Loss Expenses Paid YTD-16'!$C$31</f>
        <v>370901.95999999996</v>
      </c>
      <c r="D14" s="829">
        <f>'[11]Loss Expenses Paid YTD-16'!$C$25</f>
        <v>57790.7</v>
      </c>
      <c r="E14" s="829">
        <f>'[11]Loss Expenses Paid YTD-16'!$C$19</f>
        <v>5862.35</v>
      </c>
      <c r="F14" s="829">
        <f>'[11]Loss Expenses Paid YTD-16'!$C$13</f>
        <v>11586.630000000001</v>
      </c>
      <c r="G14" s="829">
        <f aca="true" t="shared" si="1" ref="G14:G20">SUM(B14:F14)</f>
        <v>468357.08999999997</v>
      </c>
    </row>
    <row r="15" spans="1:7" s="776" customFormat="1" ht="15" customHeight="1">
      <c r="A15" s="830" t="s">
        <v>290</v>
      </c>
      <c r="B15" s="829">
        <f>'[11]Loss Expenses Paid YTD-16'!$I$37+1</f>
        <v>3673.45</v>
      </c>
      <c r="C15" s="829">
        <f>'[11]Loss Expenses Paid YTD-16'!$I$31</f>
        <v>201518.9</v>
      </c>
      <c r="D15" s="829">
        <f>'[11]Loss Expenses Paid YTD-16'!$I$25</f>
        <v>52674.21</v>
      </c>
      <c r="E15" s="829">
        <f>'[11]Loss Expenses Paid YTD-16'!$I$19+1</f>
        <v>2994.48</v>
      </c>
      <c r="F15" s="829">
        <f>'[11]Loss Expenses Paid YTD-16'!$I$13</f>
        <v>7859.52</v>
      </c>
      <c r="G15" s="829">
        <f>SUM(B15:F15)-1</f>
        <v>268719.56</v>
      </c>
    </row>
    <row r="16" spans="1:7" s="776" customFormat="1" ht="15" customHeight="1">
      <c r="A16" s="830" t="s">
        <v>291</v>
      </c>
      <c r="B16" s="829">
        <f>'[13]2Q06 Trial Balance'!F455</f>
        <v>24847.43</v>
      </c>
      <c r="C16" s="829">
        <v>0</v>
      </c>
      <c r="D16" s="829">
        <v>0</v>
      </c>
      <c r="E16" s="829">
        <v>0</v>
      </c>
      <c r="F16" s="829">
        <v>0</v>
      </c>
      <c r="G16" s="829">
        <f t="shared" si="1"/>
        <v>24847.43</v>
      </c>
    </row>
    <row r="17" spans="1:8" s="776" customFormat="1" ht="15" customHeight="1">
      <c r="A17" s="836" t="s">
        <v>292</v>
      </c>
      <c r="B17" s="829">
        <f>'[13]2Q06 Trial Balance'!F459</f>
        <v>114453</v>
      </c>
      <c r="C17" s="829">
        <v>0</v>
      </c>
      <c r="D17" s="829">
        <v>0</v>
      </c>
      <c r="E17" s="829">
        <v>0</v>
      </c>
      <c r="F17" s="829">
        <v>0</v>
      </c>
      <c r="G17" s="829">
        <f t="shared" si="1"/>
        <v>114453</v>
      </c>
      <c r="H17" s="780"/>
    </row>
    <row r="18" spans="1:8" s="776" customFormat="1" ht="15" customHeight="1">
      <c r="A18" s="830" t="s">
        <v>294</v>
      </c>
      <c r="B18" s="829">
        <f>'[13]2Q06 Trial Balance'!F457</f>
        <v>6600</v>
      </c>
      <c r="C18" s="829">
        <v>0</v>
      </c>
      <c r="D18" s="829">
        <v>0</v>
      </c>
      <c r="E18" s="829">
        <v>0</v>
      </c>
      <c r="F18" s="829">
        <v>0</v>
      </c>
      <c r="G18" s="829">
        <f t="shared" si="1"/>
        <v>6600</v>
      </c>
      <c r="H18" s="780"/>
    </row>
    <row r="19" spans="1:7" s="776" customFormat="1" ht="15" customHeight="1">
      <c r="A19" s="836" t="s">
        <v>293</v>
      </c>
      <c r="B19" s="829">
        <f>'[13]2Q06 Trial Balance'!F450</f>
        <v>968609.2999999999</v>
      </c>
      <c r="C19" s="829">
        <f>'[13]2Q06 Trial Balance'!F443</f>
        <v>-875.3</v>
      </c>
      <c r="D19" s="829">
        <f>'[13]2Q06 Trial Balance'!F436</f>
        <v>-837.5</v>
      </c>
      <c r="E19" s="829">
        <f>'[13]2Q06 Trial Balance'!F431</f>
        <v>-45.3</v>
      </c>
      <c r="F19" s="829">
        <v>0</v>
      </c>
      <c r="G19" s="829">
        <f t="shared" si="1"/>
        <v>966851.1999999998</v>
      </c>
    </row>
    <row r="20" spans="1:7" s="776" customFormat="1" ht="15" customHeight="1">
      <c r="A20" s="830" t="s">
        <v>295</v>
      </c>
      <c r="B20" s="829">
        <f>'Earned Incurred YTD-6'!C39</f>
        <v>2104966.5399999977</v>
      </c>
      <c r="C20" s="829">
        <v>0</v>
      </c>
      <c r="D20" s="829">
        <v>0</v>
      </c>
      <c r="E20" s="829">
        <v>0</v>
      </c>
      <c r="F20" s="829">
        <v>0</v>
      </c>
      <c r="G20" s="829">
        <f t="shared" si="1"/>
        <v>2104966.5399999977</v>
      </c>
    </row>
    <row r="21" spans="1:7" s="776" customFormat="1" ht="15" customHeight="1">
      <c r="A21" s="830" t="s">
        <v>93</v>
      </c>
      <c r="B21" s="829">
        <f>30500+'Equity QTD-3'!B21</f>
        <v>72174.4</v>
      </c>
      <c r="C21" s="829">
        <f>+'Equity QTD-3'!C21+-1891.7+1</f>
        <v>9584.3</v>
      </c>
      <c r="D21" s="829">
        <v>0</v>
      </c>
      <c r="E21" s="829">
        <v>0</v>
      </c>
      <c r="F21" s="829">
        <v>0</v>
      </c>
      <c r="G21" s="829">
        <f>SUM(B21:F21)-1</f>
        <v>81757.7</v>
      </c>
    </row>
    <row r="22" spans="1:7" s="776" customFormat="1" ht="15" customHeight="1" thickBot="1">
      <c r="A22" s="830" t="s">
        <v>286</v>
      </c>
      <c r="B22" s="831">
        <f>SUM(B13:B21)-1</f>
        <v>3476987.1899999976</v>
      </c>
      <c r="C22" s="831">
        <f>SUM(C13:C21)</f>
        <v>5777855.07</v>
      </c>
      <c r="D22" s="831">
        <f>SUM(D13:D21)</f>
        <v>1125124.02</v>
      </c>
      <c r="E22" s="831">
        <f>SUM(E13:E21)-1</f>
        <v>37410.63</v>
      </c>
      <c r="F22" s="831">
        <f>SUM(F13:F21)</f>
        <v>92461.57</v>
      </c>
      <c r="G22" s="833">
        <f>SUM(G13:G21)+1</f>
        <v>10509839.479999997</v>
      </c>
    </row>
    <row r="23" spans="1:7" s="776" customFormat="1" ht="15" customHeight="1" thickTop="1">
      <c r="A23" s="830"/>
      <c r="B23" s="834"/>
      <c r="C23" s="834"/>
      <c r="D23" s="834"/>
      <c r="E23" s="829"/>
      <c r="F23" s="829"/>
      <c r="G23" s="829"/>
    </row>
    <row r="24" spans="1:7" s="776" customFormat="1" ht="15" customHeight="1" thickBot="1">
      <c r="A24" s="837" t="s">
        <v>296</v>
      </c>
      <c r="B24" s="838">
        <f>B10-B22</f>
        <v>7878072.660000002</v>
      </c>
      <c r="C24" s="838">
        <f>C10-C22</f>
        <v>-5818957.07</v>
      </c>
      <c r="D24" s="838">
        <f>D10-D22</f>
        <v>-1133923.02</v>
      </c>
      <c r="E24" s="838">
        <f>E10-E22</f>
        <v>-37863.63</v>
      </c>
      <c r="F24" s="838">
        <f>F10-F22</f>
        <v>-92461.57</v>
      </c>
      <c r="G24" s="833">
        <f>SUM(B24:F24)</f>
        <v>794867.3700000017</v>
      </c>
    </row>
    <row r="25" spans="1:7" s="776" customFormat="1" ht="15" customHeight="1" thickTop="1">
      <c r="A25" s="830"/>
      <c r="B25" s="834"/>
      <c r="C25" s="834"/>
      <c r="D25" s="834"/>
      <c r="E25" s="829"/>
      <c r="F25" s="829"/>
      <c r="G25" s="829"/>
    </row>
    <row r="26" spans="1:7" s="776" customFormat="1" ht="15" customHeight="1">
      <c r="A26" s="824" t="s">
        <v>297</v>
      </c>
      <c r="B26" s="826"/>
      <c r="C26" s="826"/>
      <c r="D26" s="826"/>
      <c r="E26" s="835"/>
      <c r="F26" s="835"/>
      <c r="G26" s="829"/>
    </row>
    <row r="27" spans="1:7" s="776" customFormat="1" ht="15" customHeight="1">
      <c r="A27" s="830" t="s">
        <v>298</v>
      </c>
      <c r="B27" s="829">
        <v>0</v>
      </c>
      <c r="C27" s="829">
        <f>'Earned Incurred YTD-6'!B50</f>
        <v>114017.49</v>
      </c>
      <c r="D27" s="829">
        <v>0</v>
      </c>
      <c r="E27" s="829">
        <v>0</v>
      </c>
      <c r="F27" s="829">
        <v>0</v>
      </c>
      <c r="G27" s="829">
        <f>SUM(B27:F27)</f>
        <v>114017.49</v>
      </c>
    </row>
    <row r="28" spans="1:8" s="776" customFormat="1" ht="15" customHeight="1">
      <c r="A28" s="830" t="s">
        <v>299</v>
      </c>
      <c r="B28" s="829">
        <f>'Balance Sheet-1'!D14</f>
        <v>1019137.0800000001</v>
      </c>
      <c r="C28" s="829">
        <v>0</v>
      </c>
      <c r="D28" s="829">
        <v>0</v>
      </c>
      <c r="E28" s="829">
        <v>0</v>
      </c>
      <c r="F28" s="829">
        <v>0</v>
      </c>
      <c r="G28" s="829">
        <f>SUM(B28:F28)</f>
        <v>1019137.0800000001</v>
      </c>
      <c r="H28" s="780"/>
    </row>
    <row r="29" spans="1:7" s="776" customFormat="1" ht="15" customHeight="1" thickBot="1">
      <c r="A29" s="830" t="s">
        <v>286</v>
      </c>
      <c r="B29" s="832">
        <f>SUM(B27:B28)</f>
        <v>1019137.0800000001</v>
      </c>
      <c r="C29" s="832">
        <f>SUM(C27:C28)</f>
        <v>114017.49</v>
      </c>
      <c r="D29" s="832">
        <f>SUM(D27:D28)</f>
        <v>0</v>
      </c>
      <c r="E29" s="832">
        <f>SUM(E27:E28)</f>
        <v>0</v>
      </c>
      <c r="F29" s="832">
        <f>SUM(F27:F28)</f>
        <v>0</v>
      </c>
      <c r="G29" s="833">
        <f>SUM(G27:G28)-1</f>
        <v>1133153.57</v>
      </c>
    </row>
    <row r="30" spans="1:7" s="776" customFormat="1" ht="15" customHeight="1" thickTop="1">
      <c r="A30" s="830"/>
      <c r="B30" s="834"/>
      <c r="C30" s="834"/>
      <c r="D30" s="834"/>
      <c r="E30" s="829"/>
      <c r="F30" s="829"/>
      <c r="G30" s="829"/>
    </row>
    <row r="31" spans="1:7" s="776" customFormat="1" ht="15" customHeight="1">
      <c r="A31" s="824" t="s">
        <v>300</v>
      </c>
      <c r="B31" s="826"/>
      <c r="C31" s="826"/>
      <c r="D31" s="826"/>
      <c r="E31" s="835"/>
      <c r="F31" s="835"/>
      <c r="G31" s="829"/>
    </row>
    <row r="32" spans="1:7" s="776" customFormat="1" ht="15" customHeight="1">
      <c r="A32" s="830" t="s">
        <v>301</v>
      </c>
      <c r="B32" s="829">
        <f>'Earned Incurred YTD-6'!B49</f>
        <v>169580.82</v>
      </c>
      <c r="C32" s="829">
        <v>0</v>
      </c>
      <c r="D32" s="829">
        <v>0</v>
      </c>
      <c r="E32" s="829">
        <v>0</v>
      </c>
      <c r="F32" s="829">
        <v>0</v>
      </c>
      <c r="G32" s="829">
        <f>SUM(B32:F32)</f>
        <v>169580.82</v>
      </c>
    </row>
    <row r="33" spans="1:9" s="776" customFormat="1" ht="15" customHeight="1">
      <c r="A33" s="830" t="s">
        <v>302</v>
      </c>
      <c r="B33" s="829">
        <v>0</v>
      </c>
      <c r="C33" s="829">
        <f>'[14]Equity QTD-3'!$C$33</f>
        <v>776199.41</v>
      </c>
      <c r="D33" s="829">
        <v>0</v>
      </c>
      <c r="E33" s="829">
        <v>0</v>
      </c>
      <c r="F33" s="829">
        <v>0</v>
      </c>
      <c r="G33" s="829">
        <f>SUM(B33:F33)</f>
        <v>776199.41</v>
      </c>
      <c r="H33" s="780"/>
      <c r="I33" s="780"/>
    </row>
    <row r="34" spans="1:8" s="776" customFormat="1" ht="15" customHeight="1" thickBot="1">
      <c r="A34" s="830" t="s">
        <v>286</v>
      </c>
      <c r="B34" s="832">
        <f aca="true" t="shared" si="2" ref="B34:G34">SUM(B32:B33)</f>
        <v>169580.82</v>
      </c>
      <c r="C34" s="832">
        <f t="shared" si="2"/>
        <v>776199.41</v>
      </c>
      <c r="D34" s="832">
        <f t="shared" si="2"/>
        <v>0</v>
      </c>
      <c r="E34" s="832">
        <f t="shared" si="2"/>
        <v>0</v>
      </c>
      <c r="F34" s="832">
        <f t="shared" si="2"/>
        <v>0</v>
      </c>
      <c r="G34" s="833">
        <f t="shared" si="2"/>
        <v>945780.23</v>
      </c>
      <c r="H34" s="780"/>
    </row>
    <row r="35" spans="1:7" s="776" customFormat="1" ht="15" customHeight="1" thickTop="1">
      <c r="A35" s="830"/>
      <c r="B35" s="834"/>
      <c r="C35" s="834"/>
      <c r="D35" s="834"/>
      <c r="E35" s="829"/>
      <c r="F35" s="829"/>
      <c r="G35" s="839"/>
    </row>
    <row r="36" spans="1:7" s="776" customFormat="1" ht="15" customHeight="1" thickBot="1">
      <c r="A36" s="824" t="s">
        <v>303</v>
      </c>
      <c r="B36" s="838">
        <f>B24-B29+B34+1</f>
        <v>7028517.400000002</v>
      </c>
      <c r="C36" s="838">
        <f>C24-C29+C34</f>
        <v>-5156775.15</v>
      </c>
      <c r="D36" s="838">
        <f>D24-D29+D34</f>
        <v>-1133923.02</v>
      </c>
      <c r="E36" s="838">
        <f>E24-E29+E34</f>
        <v>-37863.63</v>
      </c>
      <c r="F36" s="838">
        <f>F24-F29+F34</f>
        <v>-92461.57</v>
      </c>
      <c r="G36" s="833">
        <f>SUM(B36:F36)-1</f>
        <v>607493.0300000019</v>
      </c>
    </row>
    <row r="37" spans="1:7" s="776" customFormat="1" ht="15" customHeight="1" thickTop="1">
      <c r="A37" s="830"/>
      <c r="B37" s="834"/>
      <c r="C37" s="834"/>
      <c r="D37" s="834"/>
      <c r="E37" s="829"/>
      <c r="F37" s="829"/>
      <c r="G37" s="829"/>
    </row>
    <row r="38" spans="1:7" s="776" customFormat="1" ht="15" customHeight="1">
      <c r="A38" s="840" t="s">
        <v>97</v>
      </c>
      <c r="B38" s="841"/>
      <c r="C38" s="841"/>
      <c r="D38" s="841"/>
      <c r="E38" s="829"/>
      <c r="F38" s="829"/>
      <c r="G38" s="829"/>
    </row>
    <row r="39" spans="1:7" s="776" customFormat="1" ht="15" customHeight="1">
      <c r="A39" s="830" t="s">
        <v>261</v>
      </c>
      <c r="B39" s="829">
        <f>'Premiums YTD-8'!B17</f>
        <v>8236706</v>
      </c>
      <c r="C39" s="829">
        <f>'Premiums YTD-8'!C17</f>
        <v>2820685</v>
      </c>
      <c r="D39" s="829">
        <f>'Premiums YTD-8'!D17</f>
        <v>0</v>
      </c>
      <c r="E39" s="829">
        <f>'Premiums YTD-8'!E17</f>
        <v>0</v>
      </c>
      <c r="F39" s="829">
        <f>'Premiums YTD-8'!F17</f>
        <v>0</v>
      </c>
      <c r="G39" s="829">
        <f>SUM(B39:F39)</f>
        <v>11057391</v>
      </c>
    </row>
    <row r="40" spans="1:7" s="776" customFormat="1" ht="15" customHeight="1">
      <c r="A40" s="830" t="s">
        <v>304</v>
      </c>
      <c r="B40" s="829">
        <f>'Losses Incurred YTD-10'!B19+'Losses Incurred YTD-10'!B25</f>
        <v>1513739.79</v>
      </c>
      <c r="C40" s="829">
        <f>'Losses Incurred YTD-10'!C19+'Losses Incurred YTD-10'!C25</f>
        <v>3201048.1100000003</v>
      </c>
      <c r="D40" s="829">
        <f>'Losses Incurred YTD-10'!D19+'Losses Incurred YTD-10'!D25</f>
        <v>217837</v>
      </c>
      <c r="E40" s="829">
        <f>'Losses Incurred YTD-10'!E19+'Losses Incurred YTD-10'!E25</f>
        <v>85738.65</v>
      </c>
      <c r="F40" s="829">
        <f>'Losses Incurred YTD-10'!F19+'Losses Incurred YTD-10'!F25</f>
        <v>7759</v>
      </c>
      <c r="G40" s="829">
        <f>SUM(B40:F40)</f>
        <v>5026122.550000001</v>
      </c>
    </row>
    <row r="41" spans="1:7" s="776" customFormat="1" ht="15" customHeight="1">
      <c r="A41" s="830" t="s">
        <v>305</v>
      </c>
      <c r="B41" s="829">
        <f>'Loss Expenses YTD-12'!B18</f>
        <v>150717.19999999998</v>
      </c>
      <c r="C41" s="829">
        <f>'Loss Expenses YTD-12'!C18</f>
        <v>353667.78</v>
      </c>
      <c r="D41" s="829">
        <f>'Loss Expenses YTD-12'!D18</f>
        <v>67471.48</v>
      </c>
      <c r="E41" s="829">
        <f>'Loss Expenses YTD-12'!E18</f>
        <v>35616.4</v>
      </c>
      <c r="F41" s="829">
        <f>'Loss Expenses YTD-12'!F18</f>
        <v>3944.75</v>
      </c>
      <c r="G41" s="829">
        <f>SUM(B41:F41)-1</f>
        <v>611416.61</v>
      </c>
    </row>
    <row r="42" spans="1:7" s="776" customFormat="1" ht="15" customHeight="1">
      <c r="A42" s="830" t="s">
        <v>306</v>
      </c>
      <c r="B42" s="829">
        <f>'Earned Incurred YTD-6'!B41</f>
        <v>310412.15</v>
      </c>
      <c r="C42" s="829">
        <v>0</v>
      </c>
      <c r="D42" s="829">
        <v>0</v>
      </c>
      <c r="E42" s="829">
        <v>0</v>
      </c>
      <c r="F42" s="829">
        <v>0</v>
      </c>
      <c r="G42" s="829">
        <f>SUM(B42:F42)</f>
        <v>310412.15</v>
      </c>
    </row>
    <row r="43" spans="1:7" s="776" customFormat="1" ht="15" customHeight="1">
      <c r="A43" s="830" t="s">
        <v>307</v>
      </c>
      <c r="B43" s="829">
        <f>'Earned Incurred YTD-6'!B33</f>
        <v>15977.01</v>
      </c>
      <c r="C43" s="829">
        <v>0</v>
      </c>
      <c r="D43" s="829">
        <v>0</v>
      </c>
      <c r="E43" s="829">
        <v>0</v>
      </c>
      <c r="F43" s="829">
        <v>0</v>
      </c>
      <c r="G43" s="829">
        <f>SUM(B43:F43)</f>
        <v>15977.01</v>
      </c>
    </row>
    <row r="44" spans="1:7" s="776" customFormat="1" ht="15" customHeight="1" thickBot="1">
      <c r="A44" s="842" t="s">
        <v>286</v>
      </c>
      <c r="B44" s="832">
        <f>SUM(B39:B43)</f>
        <v>10227552.149999999</v>
      </c>
      <c r="C44" s="832">
        <f>SUM(C39:C43)</f>
        <v>6375400.890000001</v>
      </c>
      <c r="D44" s="832">
        <f>SUM(D39:D43)</f>
        <v>285308.48</v>
      </c>
      <c r="E44" s="832">
        <f>SUM(E39:E43)</f>
        <v>121355.04999999999</v>
      </c>
      <c r="F44" s="832">
        <f>SUM(F39:F43)</f>
        <v>11703.75</v>
      </c>
      <c r="G44" s="833">
        <f>SUM(G39:G43)+1</f>
        <v>17021320.32</v>
      </c>
    </row>
    <row r="45" spans="1:7" s="776" customFormat="1" ht="15" customHeight="1" thickTop="1">
      <c r="A45" s="830"/>
      <c r="B45" s="834"/>
      <c r="C45" s="834"/>
      <c r="D45" s="834"/>
      <c r="E45" s="829"/>
      <c r="F45" s="829"/>
      <c r="G45" s="829"/>
    </row>
    <row r="46" spans="1:7" s="776" customFormat="1" ht="15" customHeight="1">
      <c r="A46" s="840" t="s">
        <v>98</v>
      </c>
      <c r="B46" s="841"/>
      <c r="C46" s="841"/>
      <c r="D46" s="841"/>
      <c r="E46" s="829"/>
      <c r="F46" s="829"/>
      <c r="G46" s="829"/>
    </row>
    <row r="47" spans="1:7" s="776" customFormat="1" ht="15" customHeight="1">
      <c r="A47" s="830" t="s">
        <v>261</v>
      </c>
      <c r="B47" s="829">
        <f>'Premiums YTD-8'!B23</f>
        <v>0</v>
      </c>
      <c r="C47" s="829">
        <f>'Premiums YTD-8'!C23</f>
        <v>11538996</v>
      </c>
      <c r="D47" s="829">
        <f>'Premiums YTD-8'!D23</f>
        <v>0</v>
      </c>
      <c r="E47" s="829">
        <f>'Premiums YTD-8'!E23</f>
        <v>0</v>
      </c>
      <c r="F47" s="829">
        <f>'Premiums YTD-8'!F23</f>
        <v>0</v>
      </c>
      <c r="G47" s="829">
        <f aca="true" t="shared" si="3" ref="G47:G52">SUM(B47:F47)</f>
        <v>11538996</v>
      </c>
    </row>
    <row r="48" spans="1:7" s="776" customFormat="1" ht="15" customHeight="1">
      <c r="A48" s="830" t="s">
        <v>304</v>
      </c>
      <c r="B48" s="829">
        <f>'Losses Incurred YTD-10'!B32</f>
        <v>0</v>
      </c>
      <c r="C48" s="829">
        <f>'Losses Incurred YTD-10'!C32</f>
        <v>3726859.73</v>
      </c>
      <c r="D48" s="829">
        <f>'Losses Incurred YTD-10'!D32</f>
        <v>1281664.97</v>
      </c>
      <c r="E48" s="829">
        <f>'Losses Incurred YTD-10'!E32</f>
        <v>132834.93</v>
      </c>
      <c r="F48" s="829">
        <f>'Losses Incurred YTD-10'!F32</f>
        <v>176685.33000000002</v>
      </c>
      <c r="G48" s="829">
        <f t="shared" si="3"/>
        <v>5318044.96</v>
      </c>
    </row>
    <row r="49" spans="1:7" s="776" customFormat="1" ht="15" customHeight="1">
      <c r="A49" s="830" t="s">
        <v>308</v>
      </c>
      <c r="B49" s="829">
        <f>'Loss Expenses YTD-12'!B24</f>
        <v>0</v>
      </c>
      <c r="C49" s="829">
        <f>'Loss Expenses YTD-12'!C24</f>
        <v>401091.85</v>
      </c>
      <c r="D49" s="829">
        <f>'Loss Expenses YTD-12'!D24</f>
        <v>181933.50999999998</v>
      </c>
      <c r="E49" s="829">
        <f>'Loss Expenses YTD-12'!E24</f>
        <v>42780.09</v>
      </c>
      <c r="F49" s="829">
        <f>'Loss Expenses YTD-12'!F24</f>
        <v>24309.670000000002</v>
      </c>
      <c r="G49" s="829">
        <f>SUM(B49:F49)+1</f>
        <v>650116.12</v>
      </c>
    </row>
    <row r="50" spans="1:7" s="776" customFormat="1" ht="15" customHeight="1">
      <c r="A50" s="830" t="s">
        <v>306</v>
      </c>
      <c r="B50" s="829">
        <v>0</v>
      </c>
      <c r="C50" s="829">
        <f>'Earned Incurred YTD-6'!B42</f>
        <v>246950.43</v>
      </c>
      <c r="D50" s="829">
        <v>0</v>
      </c>
      <c r="E50" s="829">
        <v>0</v>
      </c>
      <c r="F50" s="829">
        <v>0</v>
      </c>
      <c r="G50" s="829">
        <f t="shared" si="3"/>
        <v>246950.43</v>
      </c>
    </row>
    <row r="51" spans="1:7" s="776" customFormat="1" ht="15" customHeight="1">
      <c r="A51" s="830" t="s">
        <v>307</v>
      </c>
      <c r="B51" s="829">
        <v>0</v>
      </c>
      <c r="C51" s="829">
        <f>'Earned Incurred YTD-6'!B34</f>
        <v>56780.91</v>
      </c>
      <c r="D51" s="829">
        <v>0</v>
      </c>
      <c r="E51" s="829">
        <v>0</v>
      </c>
      <c r="F51" s="829">
        <v>0</v>
      </c>
      <c r="G51" s="829">
        <f t="shared" si="3"/>
        <v>56780.91</v>
      </c>
    </row>
    <row r="52" spans="1:7" s="776" customFormat="1" ht="15" customHeight="1" thickBot="1">
      <c r="A52" s="830" t="s">
        <v>286</v>
      </c>
      <c r="B52" s="832">
        <f>SUM(B47:B51)</f>
        <v>0</v>
      </c>
      <c r="C52" s="832">
        <f>SUM(C47:C51)</f>
        <v>15970678.92</v>
      </c>
      <c r="D52" s="832">
        <f>SUM(D47:D51)+1</f>
        <v>1463599.48</v>
      </c>
      <c r="E52" s="832">
        <f>SUM(E47:E51)</f>
        <v>175615.02</v>
      </c>
      <c r="F52" s="832">
        <f>SUM(F47:F51)</f>
        <v>200995.00000000003</v>
      </c>
      <c r="G52" s="833">
        <f t="shared" si="3"/>
        <v>17810888.419999998</v>
      </c>
    </row>
    <row r="53" spans="1:7" s="776" customFormat="1" ht="15" customHeight="1" thickTop="1">
      <c r="A53" s="830"/>
      <c r="B53" s="834"/>
      <c r="C53" s="834"/>
      <c r="D53" s="834"/>
      <c r="E53" s="834"/>
      <c r="F53" s="834"/>
      <c r="G53" s="485"/>
    </row>
    <row r="54" spans="1:8" s="776" customFormat="1" ht="15" customHeight="1" thickBot="1">
      <c r="A54" s="837" t="s">
        <v>309</v>
      </c>
      <c r="B54" s="843">
        <f>B36-B44+B52</f>
        <v>-3199034.7499999963</v>
      </c>
      <c r="C54" s="843">
        <f>C36-C44+C52</f>
        <v>4438502.879999999</v>
      </c>
      <c r="D54" s="843">
        <f>D36-D44+D52</f>
        <v>44367.97999999998</v>
      </c>
      <c r="E54" s="843">
        <f>E36-E44+E52</f>
        <v>16396.339999999997</v>
      </c>
      <c r="F54" s="843">
        <f>F36-F44+F52-1</f>
        <v>96828.68000000002</v>
      </c>
      <c r="G54" s="843">
        <f>G36-G44+G52</f>
        <v>1397061.129999999</v>
      </c>
      <c r="H54" s="780"/>
    </row>
    <row r="55" spans="1:8" s="776" customFormat="1" ht="15" customHeight="1" thickTop="1">
      <c r="A55" s="779"/>
      <c r="B55" s="780"/>
      <c r="C55" s="780"/>
      <c r="D55" s="802"/>
      <c r="E55" s="802"/>
      <c r="F55" s="802"/>
      <c r="G55" s="775"/>
      <c r="H55" s="780"/>
    </row>
    <row r="56" spans="1:9" s="776" customFormat="1" ht="15" customHeight="1">
      <c r="A56" s="779"/>
      <c r="B56" s="780"/>
      <c r="C56" s="780"/>
      <c r="D56" s="802"/>
      <c r="E56" s="802"/>
      <c r="F56" s="802"/>
      <c r="G56" s="775"/>
      <c r="I56" s="780"/>
    </row>
    <row r="57" spans="1:7" s="776" customFormat="1" ht="15" customHeight="1">
      <c r="A57" s="779"/>
      <c r="B57" s="780"/>
      <c r="C57" s="780"/>
      <c r="D57" s="802"/>
      <c r="E57" s="802"/>
      <c r="F57" s="802"/>
      <c r="G57" s="802"/>
    </row>
    <row r="58" spans="2:7" s="776" customFormat="1" ht="15" customHeight="1">
      <c r="B58" s="780"/>
      <c r="C58" s="780"/>
      <c r="D58" s="802"/>
      <c r="E58" s="802"/>
      <c r="F58" s="802"/>
      <c r="G58" s="802"/>
    </row>
    <row r="59" spans="2:7" s="776" customFormat="1" ht="15" customHeight="1">
      <c r="B59" s="780"/>
      <c r="C59" s="780"/>
      <c r="D59" s="802"/>
      <c r="E59" s="802"/>
      <c r="F59" s="802"/>
      <c r="G59" s="802"/>
    </row>
    <row r="60" spans="2:7" s="776" customFormat="1" ht="15" customHeight="1">
      <c r="B60" s="780"/>
      <c r="C60" s="780"/>
      <c r="D60" s="802"/>
      <c r="E60" s="802"/>
      <c r="F60" s="802"/>
      <c r="G60" s="802"/>
    </row>
    <row r="61" spans="1:7" s="776" customFormat="1" ht="15" customHeight="1">
      <c r="A61" s="778"/>
      <c r="B61" s="803"/>
      <c r="C61" s="803"/>
      <c r="D61" s="802"/>
      <c r="E61" s="802"/>
      <c r="F61" s="802"/>
      <c r="G61" s="802"/>
    </row>
    <row r="62" spans="2:7" s="776" customFormat="1" ht="15" customHeight="1">
      <c r="B62" s="780"/>
      <c r="C62" s="780"/>
      <c r="D62" s="802"/>
      <c r="E62" s="802"/>
      <c r="F62" s="802"/>
      <c r="G62" s="775"/>
    </row>
    <row r="63" spans="2:7" s="776" customFormat="1" ht="15" customHeight="1">
      <c r="B63" s="780"/>
      <c r="C63" s="780"/>
      <c r="D63" s="802"/>
      <c r="E63" s="802"/>
      <c r="F63" s="802"/>
      <c r="G63" s="775"/>
    </row>
    <row r="64" spans="2:7" s="776" customFormat="1" ht="15" customHeight="1">
      <c r="B64" s="780"/>
      <c r="C64" s="780"/>
      <c r="D64" s="802"/>
      <c r="E64" s="802"/>
      <c r="F64" s="802"/>
      <c r="G64" s="775"/>
    </row>
    <row r="65" spans="2:7" s="776" customFormat="1" ht="15" customHeight="1">
      <c r="B65" s="780"/>
      <c r="C65" s="780"/>
      <c r="D65" s="802"/>
      <c r="E65" s="802"/>
      <c r="F65" s="802"/>
      <c r="G65" s="775"/>
    </row>
    <row r="66" spans="2:7" s="776" customFormat="1" ht="15" customHeight="1">
      <c r="B66" s="780"/>
      <c r="C66" s="780"/>
      <c r="D66" s="802"/>
      <c r="E66" s="802"/>
      <c r="F66" s="802"/>
      <c r="G66" s="775"/>
    </row>
    <row r="67" spans="2:7" s="776" customFormat="1" ht="15" customHeight="1">
      <c r="B67" s="780"/>
      <c r="C67" s="780"/>
      <c r="D67" s="802"/>
      <c r="E67" s="802"/>
      <c r="F67" s="802"/>
      <c r="G67" s="775"/>
    </row>
    <row r="68" spans="2:7" s="776" customFormat="1" ht="15" customHeight="1">
      <c r="B68" s="780"/>
      <c r="C68" s="780"/>
      <c r="D68" s="802"/>
      <c r="E68" s="802"/>
      <c r="F68" s="802"/>
      <c r="G68" s="775"/>
    </row>
    <row r="69" spans="2:7" s="776" customFormat="1" ht="15" customHeight="1">
      <c r="B69" s="780"/>
      <c r="C69" s="780"/>
      <c r="D69" s="802"/>
      <c r="E69" s="802"/>
      <c r="F69" s="802"/>
      <c r="G69" s="775"/>
    </row>
    <row r="70" spans="2:7" s="776" customFormat="1" ht="15" customHeight="1">
      <c r="B70" s="780"/>
      <c r="C70" s="780"/>
      <c r="D70" s="802"/>
      <c r="E70" s="802"/>
      <c r="F70" s="802"/>
      <c r="G70" s="775"/>
    </row>
    <row r="71" spans="2:7" s="776" customFormat="1" ht="15" customHeight="1">
      <c r="B71" s="780"/>
      <c r="C71" s="780"/>
      <c r="D71" s="802"/>
      <c r="E71" s="802"/>
      <c r="F71" s="802"/>
      <c r="G71" s="775"/>
    </row>
    <row r="72" spans="2:7" s="776" customFormat="1" ht="15" customHeight="1">
      <c r="B72" s="780"/>
      <c r="C72" s="780"/>
      <c r="D72" s="802"/>
      <c r="E72" s="802"/>
      <c r="F72" s="802"/>
      <c r="G72" s="775"/>
    </row>
    <row r="73" spans="2:7" s="776" customFormat="1" ht="15" customHeight="1">
      <c r="B73" s="780"/>
      <c r="C73" s="780"/>
      <c r="D73" s="802"/>
      <c r="E73" s="802"/>
      <c r="F73" s="802"/>
      <c r="G73" s="775"/>
    </row>
    <row r="74" spans="2:7" s="776" customFormat="1" ht="15" customHeight="1">
      <c r="B74" s="780"/>
      <c r="C74" s="780"/>
      <c r="D74" s="802"/>
      <c r="E74" s="802"/>
      <c r="F74" s="802"/>
      <c r="G74" s="775"/>
    </row>
    <row r="75" spans="2:7" s="776" customFormat="1" ht="15" customHeight="1">
      <c r="B75" s="780"/>
      <c r="C75" s="780"/>
      <c r="D75" s="802"/>
      <c r="E75" s="802"/>
      <c r="F75" s="802"/>
      <c r="G75" s="775"/>
    </row>
    <row r="76" spans="2:7" s="776" customFormat="1" ht="15" customHeight="1">
      <c r="B76" s="780"/>
      <c r="C76" s="780"/>
      <c r="D76" s="802"/>
      <c r="E76" s="802"/>
      <c r="F76" s="802"/>
      <c r="G76" s="775"/>
    </row>
    <row r="77" spans="2:7" s="776" customFormat="1" ht="15" customHeight="1">
      <c r="B77" s="780"/>
      <c r="C77" s="780"/>
      <c r="D77" s="802"/>
      <c r="E77" s="802"/>
      <c r="F77" s="802"/>
      <c r="G77" s="775"/>
    </row>
    <row r="78" spans="2:7" s="776" customFormat="1" ht="15" customHeight="1">
      <c r="B78" s="780"/>
      <c r="C78" s="780"/>
      <c r="D78" s="802"/>
      <c r="E78" s="802"/>
      <c r="F78" s="802"/>
      <c r="G78" s="775"/>
    </row>
    <row r="79" spans="2:7" s="776" customFormat="1" ht="15" customHeight="1">
      <c r="B79" s="780"/>
      <c r="C79" s="780"/>
      <c r="D79" s="802"/>
      <c r="E79" s="802"/>
      <c r="F79" s="802"/>
      <c r="G79" s="775"/>
    </row>
    <row r="80" spans="2:7" s="776" customFormat="1" ht="15" customHeight="1">
      <c r="B80" s="780"/>
      <c r="C80" s="780"/>
      <c r="D80" s="802"/>
      <c r="E80" s="802"/>
      <c r="F80" s="802"/>
      <c r="G80" s="775"/>
    </row>
    <row r="81" spans="2:7" s="776" customFormat="1" ht="15" customHeight="1">
      <c r="B81" s="780"/>
      <c r="C81" s="780"/>
      <c r="D81" s="802"/>
      <c r="E81" s="802"/>
      <c r="F81" s="802"/>
      <c r="G81" s="775"/>
    </row>
    <row r="82" spans="2:7" s="776" customFormat="1" ht="15" customHeight="1">
      <c r="B82" s="780"/>
      <c r="C82" s="780"/>
      <c r="D82" s="802"/>
      <c r="E82" s="802"/>
      <c r="F82" s="802"/>
      <c r="G82" s="775"/>
    </row>
    <row r="83" spans="2:7" s="776" customFormat="1" ht="15" customHeight="1">
      <c r="B83" s="780"/>
      <c r="C83" s="780"/>
      <c r="D83" s="802"/>
      <c r="E83" s="802"/>
      <c r="F83" s="802"/>
      <c r="G83" s="775"/>
    </row>
    <row r="84" spans="2:7" s="776" customFormat="1" ht="15" customHeight="1">
      <c r="B84" s="780"/>
      <c r="C84" s="780"/>
      <c r="D84" s="802"/>
      <c r="E84" s="802"/>
      <c r="F84" s="802"/>
      <c r="G84" s="775"/>
    </row>
    <row r="85" spans="2:7" s="776" customFormat="1" ht="15" customHeight="1">
      <c r="B85" s="780"/>
      <c r="C85" s="780"/>
      <c r="D85" s="802"/>
      <c r="E85" s="802"/>
      <c r="F85" s="802"/>
      <c r="G85" s="775"/>
    </row>
    <row r="86" spans="2:7" s="776" customFormat="1" ht="15" customHeight="1">
      <c r="B86" s="780"/>
      <c r="C86" s="780"/>
      <c r="D86" s="802"/>
      <c r="E86" s="802"/>
      <c r="F86" s="802"/>
      <c r="G86" s="775"/>
    </row>
    <row r="87" spans="2:7" s="776" customFormat="1" ht="15" customHeight="1">
      <c r="B87" s="780"/>
      <c r="C87" s="780"/>
      <c r="D87" s="802"/>
      <c r="E87" s="802"/>
      <c r="F87" s="802"/>
      <c r="G87" s="775"/>
    </row>
    <row r="88" spans="2:7" s="776" customFormat="1" ht="15" customHeight="1">
      <c r="B88" s="780"/>
      <c r="C88" s="780"/>
      <c r="D88" s="802"/>
      <c r="E88" s="802"/>
      <c r="F88" s="802"/>
      <c r="G88"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7" customWidth="1"/>
    <col min="5" max="5" width="15.7109375" style="341" customWidth="1"/>
    <col min="6" max="16384" width="15.7109375" style="21" customWidth="1"/>
  </cols>
  <sheetData>
    <row r="1" spans="1:5" s="263" customFormat="1" ht="30" customHeight="1">
      <c r="A1" s="948" t="s">
        <v>248</v>
      </c>
      <c r="B1" s="949"/>
      <c r="C1" s="949"/>
      <c r="D1" s="950"/>
      <c r="E1" s="769"/>
    </row>
    <row r="2" spans="1:5" s="45" customFormat="1" ht="15" customHeight="1">
      <c r="A2" s="951"/>
      <c r="B2" s="952"/>
      <c r="C2" s="952"/>
      <c r="D2" s="953"/>
      <c r="E2" s="770"/>
    </row>
    <row r="3" spans="1:5" s="45" customFormat="1" ht="15" customHeight="1">
      <c r="A3" s="916" t="s">
        <v>211</v>
      </c>
      <c r="B3" s="917"/>
      <c r="C3" s="917"/>
      <c r="D3" s="947"/>
      <c r="E3" s="770"/>
    </row>
    <row r="4" spans="1:5" s="45" customFormat="1" ht="15" customHeight="1">
      <c r="A4" s="916" t="s">
        <v>310</v>
      </c>
      <c r="B4" s="917"/>
      <c r="C4" s="917"/>
      <c r="D4" s="947"/>
      <c r="E4" s="770"/>
    </row>
    <row r="5" spans="1:5" s="45" customFormat="1" ht="15" customHeight="1">
      <c r="A5" s="916" t="s">
        <v>481</v>
      </c>
      <c r="B5" s="917"/>
      <c r="C5" s="917"/>
      <c r="D5" s="947"/>
      <c r="E5" s="770"/>
    </row>
    <row r="6" spans="1:5" s="45" customFormat="1" ht="15" customHeight="1">
      <c r="A6" s="405"/>
      <c r="B6" s="789"/>
      <c r="C6" s="789"/>
      <c r="D6" s="790"/>
      <c r="E6" s="770"/>
    </row>
    <row r="7" spans="1:5" s="18" customFormat="1" ht="15" customHeight="1">
      <c r="A7" s="406"/>
      <c r="B7" s="789"/>
      <c r="C7" s="789"/>
      <c r="D7" s="790"/>
      <c r="E7" s="127"/>
    </row>
    <row r="8" spans="1:5" s="18" customFormat="1" ht="15" customHeight="1">
      <c r="A8" s="407" t="s">
        <v>311</v>
      </c>
      <c r="B8" s="885" t="s">
        <v>499</v>
      </c>
      <c r="C8" s="886"/>
      <c r="D8" s="887"/>
      <c r="E8" s="127"/>
    </row>
    <row r="9" spans="1:5" s="18" customFormat="1" ht="15" customHeight="1">
      <c r="A9" s="407"/>
      <c r="B9" s="888" t="s">
        <v>201</v>
      </c>
      <c r="C9" s="889"/>
      <c r="D9" s="890"/>
      <c r="E9" s="127"/>
    </row>
    <row r="10" spans="1:5" s="18" customFormat="1" ht="15" customHeight="1">
      <c r="A10" s="408"/>
      <c r="B10" s="791" t="s">
        <v>258</v>
      </c>
      <c r="C10" s="792"/>
      <c r="D10" s="905"/>
      <c r="E10" s="127"/>
    </row>
    <row r="11" spans="1:5" s="18" customFormat="1" ht="15" customHeight="1">
      <c r="A11" s="409" t="s">
        <v>312</v>
      </c>
      <c r="B11" s="509"/>
      <c r="C11" s="477">
        <f>'Premiums QTD-7'!G11</f>
        <v>5666575</v>
      </c>
      <c r="D11" s="905"/>
      <c r="E11" s="127"/>
    </row>
    <row r="12" spans="1:5" s="18" customFormat="1" ht="15" customHeight="1">
      <c r="A12" s="409"/>
      <c r="B12" s="509"/>
      <c r="C12" s="485"/>
      <c r="D12" s="905"/>
      <c r="E12" s="127"/>
    </row>
    <row r="13" spans="1:5" s="18" customFormat="1" ht="15" customHeight="1">
      <c r="A13" s="410" t="s">
        <v>313</v>
      </c>
      <c r="B13" s="509">
        <f>'Earned Incurred YTD-6'!B13</f>
        <v>11057391</v>
      </c>
      <c r="C13" s="122"/>
      <c r="D13" s="905"/>
      <c r="E13" s="127"/>
    </row>
    <row r="14" spans="1:5" s="18" customFormat="1" ht="15" customHeight="1">
      <c r="A14" s="410" t="s">
        <v>332</v>
      </c>
      <c r="B14" s="511">
        <f>'Premiums QTD-7'!G23</f>
        <v>11072834</v>
      </c>
      <c r="C14" s="122"/>
      <c r="D14" s="905"/>
      <c r="E14" s="127"/>
    </row>
    <row r="15" spans="1:5" s="18" customFormat="1" ht="15" customHeight="1">
      <c r="A15" s="410" t="s">
        <v>333</v>
      </c>
      <c r="B15" s="509"/>
      <c r="C15" s="512">
        <f>B14-B13</f>
        <v>15443</v>
      </c>
      <c r="D15" s="905"/>
      <c r="E15" s="127"/>
    </row>
    <row r="16" spans="1:5" s="18" customFormat="1" ht="15" customHeight="1">
      <c r="A16" s="409" t="s">
        <v>334</v>
      </c>
      <c r="B16" s="509"/>
      <c r="C16" s="122"/>
      <c r="D16" s="907">
        <f>C11+C15</f>
        <v>5682018</v>
      </c>
      <c r="E16" s="127"/>
    </row>
    <row r="17" spans="1:4" s="18" customFormat="1" ht="15" customHeight="1">
      <c r="A17" s="410" t="s">
        <v>335</v>
      </c>
      <c r="B17" s="509"/>
      <c r="C17" s="122">
        <f>'[11]Loss Expenses Paid QTD-15'!E43</f>
        <v>3307089.61</v>
      </c>
      <c r="D17" s="905"/>
    </row>
    <row r="18" spans="1:4" s="18" customFormat="1" ht="15" customHeight="1">
      <c r="A18" s="410" t="s">
        <v>73</v>
      </c>
      <c r="B18" s="509"/>
      <c r="C18" s="512">
        <f>-'[13]2Q06 Trial Balance'!D290</f>
        <v>77397.90000000001</v>
      </c>
      <c r="D18" s="905"/>
    </row>
    <row r="19" spans="1:5" s="18" customFormat="1" ht="15" customHeight="1">
      <c r="A19" s="409" t="s">
        <v>337</v>
      </c>
      <c r="B19" s="509"/>
      <c r="C19" s="122">
        <f>C17-C18</f>
        <v>3229691.71</v>
      </c>
      <c r="D19" s="905"/>
      <c r="E19" s="127"/>
    </row>
    <row r="20" spans="1:5" s="18" customFormat="1" ht="15" customHeight="1">
      <c r="A20" s="410" t="s">
        <v>338</v>
      </c>
      <c r="B20" s="509">
        <f>'Earned Incurred YTD-6'!B20</f>
        <v>5026122.55</v>
      </c>
      <c r="C20" s="122" t="s">
        <v>258</v>
      </c>
      <c r="D20" s="905"/>
      <c r="E20" s="127"/>
    </row>
    <row r="21" spans="1:5" s="18" customFormat="1" ht="15" customHeight="1">
      <c r="A21" s="410" t="s">
        <v>339</v>
      </c>
      <c r="B21" s="511">
        <f>'Losses Incurred QTD-9'!G32</f>
        <v>5146873.79</v>
      </c>
      <c r="C21" s="122"/>
      <c r="D21" s="905"/>
      <c r="E21" s="127"/>
    </row>
    <row r="22" spans="1:5" s="18" customFormat="1" ht="15" customHeight="1">
      <c r="A22" s="410" t="s">
        <v>340</v>
      </c>
      <c r="B22" s="514"/>
      <c r="C22" s="512">
        <f>B20-B21</f>
        <v>-120751.24000000022</v>
      </c>
      <c r="D22" s="905"/>
      <c r="E22" s="127"/>
    </row>
    <row r="23" spans="1:6" s="18" customFormat="1" ht="15" customHeight="1">
      <c r="A23" s="409" t="s">
        <v>341</v>
      </c>
      <c r="B23" s="509"/>
      <c r="C23" s="122"/>
      <c r="D23" s="905">
        <f>C19+C22+1</f>
        <v>3108941.4699999997</v>
      </c>
      <c r="E23" s="122"/>
      <c r="F23" s="114"/>
    </row>
    <row r="24" spans="1:5" s="18" customFormat="1" ht="15" customHeight="1">
      <c r="A24" s="410" t="s">
        <v>342</v>
      </c>
      <c r="B24" s="509"/>
      <c r="C24" s="122">
        <f>'[11]Loss Expenses Paid QTD-15'!C43</f>
        <v>221550.3</v>
      </c>
      <c r="D24" s="905"/>
      <c r="E24" s="334"/>
    </row>
    <row r="25" spans="1:5" s="18" customFormat="1" ht="15" customHeight="1">
      <c r="A25" s="410" t="s">
        <v>343</v>
      </c>
      <c r="B25" s="509"/>
      <c r="C25" s="512">
        <f>'[11]Loss Expenses Paid QTD-15'!I43+1</f>
        <v>131586.1</v>
      </c>
      <c r="D25" s="905"/>
      <c r="E25" s="334"/>
    </row>
    <row r="26" spans="1:5" s="18" customFormat="1" ht="15" customHeight="1">
      <c r="A26" s="409" t="s">
        <v>344</v>
      </c>
      <c r="B26" s="509"/>
      <c r="C26" s="122">
        <f>C24+C25</f>
        <v>353136.4</v>
      </c>
      <c r="D26" s="905"/>
      <c r="E26" s="122"/>
    </row>
    <row r="27" spans="1:5" s="18" customFormat="1" ht="15" customHeight="1">
      <c r="A27" s="410" t="s">
        <v>345</v>
      </c>
      <c r="B27" s="509">
        <f>'Earned Incurred YTD-6'!B27</f>
        <v>611416.61</v>
      </c>
      <c r="C27" s="122"/>
      <c r="D27" s="905"/>
      <c r="E27" s="334"/>
    </row>
    <row r="28" spans="1:5" s="18" customFormat="1" ht="15" customHeight="1">
      <c r="A28" s="410" t="s">
        <v>346</v>
      </c>
      <c r="B28" s="511">
        <f>'Loss Expenses QTD-11'!G24</f>
        <v>602547.2999999999</v>
      </c>
      <c r="C28" s="122"/>
      <c r="D28" s="905"/>
      <c r="E28" s="122"/>
    </row>
    <row r="29" spans="1:7" s="18" customFormat="1" ht="15" customHeight="1">
      <c r="A29" s="410" t="s">
        <v>347</v>
      </c>
      <c r="B29" s="509"/>
      <c r="C29" s="512">
        <f>B27-B28+1</f>
        <v>8870.310000000056</v>
      </c>
      <c r="D29" s="905"/>
      <c r="E29" s="334"/>
      <c r="G29" s="114"/>
    </row>
    <row r="30" spans="1:6" s="18" customFormat="1" ht="15" customHeight="1">
      <c r="A30" s="409" t="s">
        <v>348</v>
      </c>
      <c r="B30" s="509"/>
      <c r="C30" s="122"/>
      <c r="D30" s="906">
        <f>C26+C29-1</f>
        <v>362005.7100000001</v>
      </c>
      <c r="E30" s="122"/>
      <c r="F30" s="114"/>
    </row>
    <row r="31" spans="1:6" s="18" customFormat="1" ht="15" customHeight="1">
      <c r="A31" s="409" t="s">
        <v>349</v>
      </c>
      <c r="B31" s="509"/>
      <c r="C31" s="122"/>
      <c r="D31" s="908">
        <f>D23+D30</f>
        <v>3470947.1799999997</v>
      </c>
      <c r="E31" s="122"/>
      <c r="F31" s="114"/>
    </row>
    <row r="32" spans="1:6" s="18" customFormat="1" ht="15" customHeight="1">
      <c r="A32" s="410" t="s">
        <v>350</v>
      </c>
      <c r="B32" s="509"/>
      <c r="C32" s="122">
        <f>'Equity QTD-3'!G21</f>
        <v>53149.4</v>
      </c>
      <c r="D32" s="905"/>
      <c r="E32" s="334"/>
      <c r="F32" s="114"/>
    </row>
    <row r="33" spans="1:7" s="18" customFormat="1" ht="15" customHeight="1">
      <c r="A33" s="410" t="s">
        <v>351</v>
      </c>
      <c r="B33" s="509">
        <f>'Earned Incurred YTD-6'!B33</f>
        <v>15977.01</v>
      </c>
      <c r="C33" s="122"/>
      <c r="D33" s="905"/>
      <c r="E33" s="127"/>
      <c r="G33" s="114"/>
    </row>
    <row r="34" spans="1:7" s="18" customFormat="1" ht="15" customHeight="1">
      <c r="A34" s="410" t="s">
        <v>352</v>
      </c>
      <c r="B34" s="511">
        <f>'[14]Earned Incurred QTD-4'!$B$33</f>
        <v>47029.86</v>
      </c>
      <c r="C34" s="122" t="s">
        <v>258</v>
      </c>
      <c r="D34" s="905"/>
      <c r="E34" s="127"/>
      <c r="G34" s="114"/>
    </row>
    <row r="35" spans="1:5" s="18" customFormat="1" ht="15" customHeight="1">
      <c r="A35" s="410" t="s">
        <v>56</v>
      </c>
      <c r="B35" s="509"/>
      <c r="C35" s="512">
        <f>B33-B34</f>
        <v>-31052.85</v>
      </c>
      <c r="D35" s="905"/>
      <c r="E35" s="127"/>
    </row>
    <row r="36" spans="1:6" s="18" customFormat="1" ht="15" customHeight="1">
      <c r="A36" s="409" t="s">
        <v>57</v>
      </c>
      <c r="B36" s="509"/>
      <c r="C36" s="122" t="s">
        <v>258</v>
      </c>
      <c r="D36" s="905">
        <f>C32+C35-1</f>
        <v>22095.550000000003</v>
      </c>
      <c r="E36" s="127"/>
      <c r="F36" s="114"/>
    </row>
    <row r="37" spans="1:5" s="18" customFormat="1" ht="15" customHeight="1">
      <c r="A37" s="410" t="s">
        <v>455</v>
      </c>
      <c r="B37" s="509"/>
      <c r="C37" s="122">
        <f>'[13]2Q06 Trial Balance'!D452+1</f>
        <v>490682.24999999994</v>
      </c>
      <c r="D37" s="905"/>
      <c r="E37" s="127"/>
    </row>
    <row r="38" spans="1:5" s="18" customFormat="1" ht="15" customHeight="1">
      <c r="A38" s="410" t="s">
        <v>434</v>
      </c>
      <c r="B38" s="509"/>
      <c r="C38" s="122">
        <f>'[13]2Q06 Trial Balance'!D461</f>
        <v>62891.59</v>
      </c>
      <c r="D38" s="905"/>
      <c r="E38" s="771"/>
    </row>
    <row r="39" spans="1:6" s="18" customFormat="1" ht="15" customHeight="1">
      <c r="A39" s="410" t="s">
        <v>142</v>
      </c>
      <c r="B39" s="509"/>
      <c r="C39" s="512">
        <f>'[13]2Q06 Trial Balance'!D723-C43</f>
        <v>1150168.9900000007</v>
      </c>
      <c r="D39" s="905"/>
      <c r="E39" s="771"/>
      <c r="F39" s="127"/>
    </row>
    <row r="40" spans="1:6" s="18" customFormat="1" ht="15" customHeight="1">
      <c r="A40" s="409" t="s">
        <v>143</v>
      </c>
      <c r="B40" s="509"/>
      <c r="C40" s="122">
        <f>SUM(C37:C39)</f>
        <v>1703742.8300000005</v>
      </c>
      <c r="D40" s="905"/>
      <c r="E40" s="771"/>
      <c r="F40" s="127"/>
    </row>
    <row r="41" spans="1:5" s="18" customFormat="1" ht="15" customHeight="1">
      <c r="A41" s="410" t="s">
        <v>351</v>
      </c>
      <c r="B41" s="509">
        <f>'Earned Incurred YTD-6'!B41</f>
        <v>310412.15</v>
      </c>
      <c r="C41" s="122"/>
      <c r="D41" s="905"/>
      <c r="E41" s="771"/>
    </row>
    <row r="42" spans="1:5" s="18" customFormat="1" ht="15" customHeight="1">
      <c r="A42" s="410" t="s">
        <v>352</v>
      </c>
      <c r="B42" s="511">
        <f>'[14]Earned Incurred QTD-4'!$B$41</f>
        <v>314400.39</v>
      </c>
      <c r="C42" s="122" t="s">
        <v>258</v>
      </c>
      <c r="D42" s="905"/>
      <c r="E42" s="127"/>
    </row>
    <row r="43" spans="1:5" s="18" customFormat="1" ht="15" customHeight="1">
      <c r="A43" s="410" t="s">
        <v>144</v>
      </c>
      <c r="B43" s="509"/>
      <c r="C43" s="512">
        <f>+B41-B42</f>
        <v>-3988.2399999999907</v>
      </c>
      <c r="D43" s="905"/>
      <c r="E43" s="127"/>
    </row>
    <row r="44" spans="1:6" s="18" customFormat="1" ht="15" customHeight="1">
      <c r="A44" s="409" t="s">
        <v>212</v>
      </c>
      <c r="B44" s="509"/>
      <c r="C44" s="122"/>
      <c r="D44" s="906">
        <f>SUM(C40:C43)</f>
        <v>1699754.5900000005</v>
      </c>
      <c r="E44" s="127"/>
      <c r="F44" s="127"/>
    </row>
    <row r="45" spans="1:6" s="18" customFormat="1" ht="15" customHeight="1">
      <c r="A45" s="409" t="s">
        <v>145</v>
      </c>
      <c r="B45" s="509"/>
      <c r="C45" s="122"/>
      <c r="D45" s="909">
        <f>SUM(D36:D44)+1</f>
        <v>1721851.1400000006</v>
      </c>
      <c r="E45" s="127"/>
      <c r="F45" s="120"/>
    </row>
    <row r="46" spans="1:6" s="18" customFormat="1" ht="15" customHeight="1">
      <c r="A46" s="409" t="s">
        <v>146</v>
      </c>
      <c r="B46" s="509"/>
      <c r="C46" s="122"/>
      <c r="D46" s="907">
        <f>+D31+D45</f>
        <v>5192798.32</v>
      </c>
      <c r="E46" s="127"/>
      <c r="F46" s="120"/>
    </row>
    <row r="47" spans="1:6" s="18" customFormat="1" ht="15" customHeight="1">
      <c r="A47" s="409" t="s">
        <v>459</v>
      </c>
      <c r="B47" s="509"/>
      <c r="C47" s="122"/>
      <c r="D47" s="908">
        <f>D16-D31-D45</f>
        <v>489219.6799999997</v>
      </c>
      <c r="E47" s="48"/>
      <c r="F47" s="127"/>
    </row>
    <row r="48" spans="1:6" s="18" customFormat="1" ht="15" customHeight="1">
      <c r="A48" s="410" t="s">
        <v>194</v>
      </c>
      <c r="B48" s="509"/>
      <c r="C48" s="122">
        <f>-'[13]2Q06 Trial Balance'!D254-C51</f>
        <v>203201.42999999993</v>
      </c>
      <c r="D48" s="905"/>
      <c r="E48" s="114"/>
      <c r="F48" s="114"/>
    </row>
    <row r="49" spans="1:5" s="18" customFormat="1" ht="15" customHeight="1">
      <c r="A49" s="410" t="s">
        <v>368</v>
      </c>
      <c r="B49" s="509">
        <f>'Earned Incurred YTD-6'!B49</f>
        <v>169580.82</v>
      </c>
      <c r="C49" s="122"/>
      <c r="D49" s="905"/>
      <c r="E49" s="127"/>
    </row>
    <row r="50" spans="1:5" s="18" customFormat="1" ht="15" customHeight="1">
      <c r="A50" s="410" t="s">
        <v>369</v>
      </c>
      <c r="B50" s="511">
        <f>'[14]Earned Incurred QTD-4'!$B$49</f>
        <v>139436.98</v>
      </c>
      <c r="C50" s="122" t="s">
        <v>258</v>
      </c>
      <c r="D50" s="905"/>
      <c r="E50" s="127"/>
    </row>
    <row r="51" spans="1:5" s="18" customFormat="1" ht="15" customHeight="1">
      <c r="A51" s="410" t="s">
        <v>370</v>
      </c>
      <c r="B51" s="509"/>
      <c r="C51" s="512">
        <f>B49-B50</f>
        <v>30143.839999999997</v>
      </c>
      <c r="D51" s="905"/>
      <c r="E51" s="127"/>
    </row>
    <row r="52" spans="1:5" s="18" customFormat="1" ht="15" customHeight="1">
      <c r="A52" s="409" t="s">
        <v>195</v>
      </c>
      <c r="B52" s="509"/>
      <c r="C52" s="122"/>
      <c r="D52" s="906">
        <f>C48+C51</f>
        <v>233345.26999999993</v>
      </c>
      <c r="E52" s="127"/>
    </row>
    <row r="53" spans="1:6" s="18" customFormat="1" ht="15" customHeight="1">
      <c r="A53" s="411"/>
      <c r="B53" s="509"/>
      <c r="C53" s="122"/>
      <c r="D53" s="905"/>
      <c r="E53" s="127"/>
      <c r="F53" s="114"/>
    </row>
    <row r="54" spans="1:6" s="18" customFormat="1" ht="15" customHeight="1">
      <c r="A54" s="412" t="s">
        <v>460</v>
      </c>
      <c r="B54" s="511"/>
      <c r="C54" s="512"/>
      <c r="D54" s="907">
        <f>D47+D52</f>
        <v>722564.9499999996</v>
      </c>
      <c r="E54" s="772"/>
      <c r="F54" s="340"/>
    </row>
    <row r="55" spans="1:4" s="18" customFormat="1" ht="15" customHeight="1">
      <c r="A55" s="413"/>
      <c r="B55" s="794"/>
      <c r="C55" s="794"/>
      <c r="D55" s="912"/>
    </row>
    <row r="56" spans="1:5" s="18" customFormat="1" ht="15" customHeight="1">
      <c r="A56" s="413"/>
      <c r="B56" s="794"/>
      <c r="C56" s="794"/>
      <c r="D56" s="340"/>
      <c r="E56" s="122"/>
    </row>
    <row r="57" spans="1:5" s="18" customFormat="1" ht="15" customHeight="1">
      <c r="A57" s="47"/>
      <c r="B57" s="793"/>
      <c r="C57" s="793"/>
      <c r="D57" s="793"/>
      <c r="E57" s="127"/>
    </row>
    <row r="58" spans="1:5" s="18" customFormat="1" ht="15" customHeight="1">
      <c r="A58" s="47"/>
      <c r="B58" s="793"/>
      <c r="C58" s="793"/>
      <c r="D58" s="793"/>
      <c r="E58" s="127"/>
    </row>
    <row r="59" spans="1:5" s="18" customFormat="1" ht="15" customHeight="1">
      <c r="A59" s="47"/>
      <c r="B59" s="793"/>
      <c r="C59" s="793"/>
      <c r="D59" s="793"/>
      <c r="E59" s="127"/>
    </row>
    <row r="60" spans="1:5" s="18" customFormat="1" ht="15" customHeight="1">
      <c r="A60" s="47"/>
      <c r="B60" s="793"/>
      <c r="C60" s="793"/>
      <c r="D60" s="793"/>
      <c r="E60" s="127"/>
    </row>
    <row r="61" spans="1:5" s="18" customFormat="1" ht="15" customHeight="1">
      <c r="A61" s="47"/>
      <c r="B61" s="793"/>
      <c r="C61" s="793"/>
      <c r="D61" s="793"/>
      <c r="E61" s="127"/>
    </row>
    <row r="62" spans="1:5" s="18" customFormat="1" ht="15" customHeight="1">
      <c r="A62" s="47"/>
      <c r="B62" s="793"/>
      <c r="C62" s="793"/>
      <c r="D62" s="793"/>
      <c r="E62" s="127"/>
    </row>
    <row r="63" spans="1:5" s="18" customFormat="1" ht="15" customHeight="1">
      <c r="A63" s="47"/>
      <c r="B63" s="793"/>
      <c r="C63" s="793"/>
      <c r="D63" s="793"/>
      <c r="E63" s="127"/>
    </row>
    <row r="64" spans="1:5" s="18" customFormat="1" ht="15" customHeight="1">
      <c r="A64" s="47"/>
      <c r="B64" s="795"/>
      <c r="C64" s="793"/>
      <c r="D64" s="793"/>
      <c r="E64" s="127"/>
    </row>
    <row r="65" spans="1:5" s="18" customFormat="1" ht="15" customHeight="1">
      <c r="A65" s="47"/>
      <c r="B65" s="795"/>
      <c r="C65" s="793"/>
      <c r="D65" s="793"/>
      <c r="E65" s="127"/>
    </row>
    <row r="66" spans="1:5" s="18" customFormat="1" ht="15" customHeight="1">
      <c r="A66" s="47"/>
      <c r="B66" s="795"/>
      <c r="C66" s="793"/>
      <c r="D66" s="793"/>
      <c r="E66" s="127"/>
    </row>
    <row r="67" spans="1:5" s="18" customFormat="1" ht="15" customHeight="1">
      <c r="A67" s="47"/>
      <c r="B67" s="795"/>
      <c r="C67" s="844"/>
      <c r="D67" s="793"/>
      <c r="E67" s="127"/>
    </row>
    <row r="68" spans="1:5" s="18" customFormat="1" ht="15" customHeight="1">
      <c r="A68" s="47"/>
      <c r="B68" s="795"/>
      <c r="C68" s="793"/>
      <c r="D68" s="793"/>
      <c r="E68" s="127"/>
    </row>
    <row r="69" spans="2:5" s="18" customFormat="1" ht="15" customHeight="1">
      <c r="B69" s="795"/>
      <c r="C69" s="793"/>
      <c r="D69" s="793"/>
      <c r="E69" s="127"/>
    </row>
    <row r="70" spans="1:5" s="18" customFormat="1" ht="15" customHeight="1">
      <c r="A70" s="47"/>
      <c r="B70" s="795"/>
      <c r="C70" s="793"/>
      <c r="D70" s="793"/>
      <c r="E70" s="127"/>
    </row>
    <row r="71" spans="1:5" s="18" customFormat="1" ht="15" customHeight="1">
      <c r="A71" s="47"/>
      <c r="B71" s="795"/>
      <c r="C71" s="793"/>
      <c r="D71" s="793"/>
      <c r="E71" s="127"/>
    </row>
    <row r="72" spans="1:5" s="18" customFormat="1" ht="15" customHeight="1">
      <c r="A72" s="47"/>
      <c r="B72" s="796"/>
      <c r="C72" s="793"/>
      <c r="D72" s="793"/>
      <c r="E72" s="127"/>
    </row>
    <row r="73" spans="1:5" s="18" customFormat="1" ht="15" customHeight="1">
      <c r="A73" s="47"/>
      <c r="B73" s="793"/>
      <c r="C73" s="844"/>
      <c r="D73" s="793"/>
      <c r="E73" s="127"/>
    </row>
    <row r="74" spans="1:5" s="18" customFormat="1" ht="15" customHeight="1">
      <c r="A74" s="47"/>
      <c r="B74" s="793"/>
      <c r="C74" s="793"/>
      <c r="D74" s="793"/>
      <c r="E74" s="127"/>
    </row>
    <row r="75" spans="1:5" s="18" customFormat="1" ht="15" customHeight="1">
      <c r="A75" s="47"/>
      <c r="B75" s="793"/>
      <c r="C75" s="793"/>
      <c r="D75" s="793"/>
      <c r="E75" s="127"/>
    </row>
    <row r="76" spans="1:5" s="18" customFormat="1" ht="15" customHeight="1">
      <c r="A76" s="47"/>
      <c r="B76" s="793"/>
      <c r="C76" s="793"/>
      <c r="D76" s="793"/>
      <c r="E76" s="127"/>
    </row>
    <row r="77" spans="1:5" s="18" customFormat="1" ht="15" customHeight="1">
      <c r="A77" s="47"/>
      <c r="B77" s="793"/>
      <c r="C77" s="793"/>
      <c r="D77" s="793"/>
      <c r="E77" s="127"/>
    </row>
    <row r="78" spans="1:5" s="18" customFormat="1" ht="15" customHeight="1">
      <c r="A78" s="47"/>
      <c r="B78" s="793"/>
      <c r="C78" s="793"/>
      <c r="D78" s="793"/>
      <c r="E78" s="127"/>
    </row>
    <row r="79" spans="1:5" s="18" customFormat="1" ht="15" customHeight="1">
      <c r="A79" s="47"/>
      <c r="B79" s="793"/>
      <c r="C79" s="793"/>
      <c r="D79" s="793"/>
      <c r="E79" s="127"/>
    </row>
    <row r="80" spans="1:5" s="18" customFormat="1" ht="15" customHeight="1">
      <c r="A80" s="47"/>
      <c r="B80" s="793"/>
      <c r="C80" s="793"/>
      <c r="D80" s="793"/>
      <c r="E80" s="127"/>
    </row>
    <row r="81" spans="1:5" s="18" customFormat="1" ht="15" customHeight="1">
      <c r="A81" s="47"/>
      <c r="B81" s="793"/>
      <c r="C81" s="793"/>
      <c r="D81" s="793"/>
      <c r="E81" s="127"/>
    </row>
    <row r="82" spans="1:5" s="18" customFormat="1" ht="15" customHeight="1">
      <c r="A82" s="47"/>
      <c r="B82" s="793"/>
      <c r="C82" s="793"/>
      <c r="D82" s="793"/>
      <c r="E82" s="127"/>
    </row>
    <row r="83" spans="1:5" s="18" customFormat="1" ht="15" customHeight="1">
      <c r="A83" s="47"/>
      <c r="B83" s="793"/>
      <c r="C83" s="793"/>
      <c r="D83" s="793"/>
      <c r="E83" s="127"/>
    </row>
    <row r="84" spans="1:5" s="18" customFormat="1" ht="15" customHeight="1">
      <c r="A84" s="47"/>
      <c r="B84" s="793"/>
      <c r="C84" s="793"/>
      <c r="D84" s="793"/>
      <c r="E84" s="127"/>
    </row>
    <row r="85" spans="1:5" s="18" customFormat="1" ht="15" customHeight="1">
      <c r="A85" s="47"/>
      <c r="B85" s="793"/>
      <c r="C85" s="793"/>
      <c r="D85" s="793"/>
      <c r="E85" s="127"/>
    </row>
    <row r="86" spans="1:5" s="18" customFormat="1" ht="15" customHeight="1">
      <c r="A86" s="47"/>
      <c r="B86" s="793"/>
      <c r="C86" s="793"/>
      <c r="D86" s="793"/>
      <c r="E86" s="127"/>
    </row>
    <row r="87" spans="1:5" s="18" customFormat="1" ht="15" customHeight="1">
      <c r="A87" s="47"/>
      <c r="B87" s="793"/>
      <c r="C87" s="793"/>
      <c r="D87" s="793"/>
      <c r="E87" s="127"/>
    </row>
    <row r="88" spans="1:5" s="18" customFormat="1" ht="15" customHeight="1">
      <c r="A88" s="47"/>
      <c r="B88" s="793"/>
      <c r="C88" s="793"/>
      <c r="D88" s="793"/>
      <c r="E88" s="127"/>
    </row>
    <row r="89" spans="1:5" s="18" customFormat="1" ht="15" customHeight="1">
      <c r="A89" s="47"/>
      <c r="B89" s="793"/>
      <c r="C89" s="796"/>
      <c r="D89" s="796"/>
      <c r="E89" s="127"/>
    </row>
    <row r="90" spans="1:5" s="18" customFormat="1" ht="15" customHeight="1">
      <c r="A90" s="47"/>
      <c r="B90" s="793"/>
      <c r="C90" s="796"/>
      <c r="D90" s="796"/>
      <c r="E90" s="127"/>
    </row>
    <row r="91" spans="1:5" s="18" customFormat="1" ht="15" customHeight="1">
      <c r="A91" s="47"/>
      <c r="B91" s="793"/>
      <c r="C91" s="796"/>
      <c r="D91" s="796"/>
      <c r="E91" s="127"/>
    </row>
    <row r="92" spans="1:5" s="18" customFormat="1" ht="15" customHeight="1">
      <c r="A92" s="47"/>
      <c r="B92" s="796"/>
      <c r="C92" s="796"/>
      <c r="D92" s="796"/>
      <c r="E92" s="127"/>
    </row>
    <row r="93" spans="1:5" s="18" customFormat="1" ht="15" customHeight="1">
      <c r="A93" s="47"/>
      <c r="B93" s="796"/>
      <c r="C93" s="796"/>
      <c r="D93" s="796"/>
      <c r="E93" s="127"/>
    </row>
    <row r="94" spans="1:5" s="18" customFormat="1" ht="15" customHeight="1">
      <c r="A94" s="47"/>
      <c r="B94" s="796"/>
      <c r="C94" s="796"/>
      <c r="D94" s="796"/>
      <c r="E94" s="127"/>
    </row>
    <row r="95" spans="1:5" s="18" customFormat="1" ht="15" customHeight="1">
      <c r="A95" s="47"/>
      <c r="B95" s="796"/>
      <c r="C95" s="796"/>
      <c r="D95" s="796"/>
      <c r="E95" s="127"/>
    </row>
    <row r="96" spans="1:5" s="18" customFormat="1" ht="15" customHeight="1">
      <c r="A96" s="47"/>
      <c r="B96" s="796"/>
      <c r="C96" s="796"/>
      <c r="D96" s="796"/>
      <c r="E96" s="127"/>
    </row>
    <row r="97" spans="1:5" s="18" customFormat="1" ht="15" customHeight="1">
      <c r="A97" s="47"/>
      <c r="B97" s="796"/>
      <c r="C97" s="796"/>
      <c r="D97" s="796"/>
      <c r="E97" s="127"/>
    </row>
    <row r="98" spans="1:5" s="18" customFormat="1" ht="15" customHeight="1">
      <c r="A98" s="47"/>
      <c r="B98" s="796"/>
      <c r="C98" s="796"/>
      <c r="D98" s="796"/>
      <c r="E98" s="127"/>
    </row>
    <row r="99" spans="1:5" s="18" customFormat="1" ht="15" customHeight="1">
      <c r="A99" s="47"/>
      <c r="B99" s="796"/>
      <c r="C99" s="796"/>
      <c r="D99" s="796"/>
      <c r="E99" s="127"/>
    </row>
    <row r="100" spans="1:5" s="18" customFormat="1" ht="15" customHeight="1">
      <c r="A100" s="47"/>
      <c r="B100" s="796"/>
      <c r="C100" s="796"/>
      <c r="D100" s="796"/>
      <c r="E100" s="127"/>
    </row>
    <row r="101" spans="1:5" s="18" customFormat="1" ht="15" customHeight="1">
      <c r="A101" s="47"/>
      <c r="B101" s="796"/>
      <c r="C101" s="796"/>
      <c r="D101" s="796"/>
      <c r="E101" s="127"/>
    </row>
    <row r="102" spans="1:5" s="18" customFormat="1" ht="15" customHeight="1">
      <c r="A102" s="47"/>
      <c r="B102" s="796"/>
      <c r="C102" s="796"/>
      <c r="D102" s="796"/>
      <c r="E102" s="127"/>
    </row>
    <row r="103" spans="1:5" s="18" customFormat="1" ht="15" customHeight="1">
      <c r="A103" s="47"/>
      <c r="B103" s="796"/>
      <c r="C103" s="796"/>
      <c r="D103" s="796"/>
      <c r="E103" s="127"/>
    </row>
    <row r="104" spans="1:5" s="18" customFormat="1" ht="15" customHeight="1">
      <c r="A104" s="47"/>
      <c r="B104" s="796"/>
      <c r="C104" s="796"/>
      <c r="D104" s="796"/>
      <c r="E104" s="127"/>
    </row>
    <row r="105" spans="1:5" s="18" customFormat="1" ht="15" customHeight="1">
      <c r="A105" s="47"/>
      <c r="B105" s="796"/>
      <c r="C105" s="796"/>
      <c r="D105" s="796"/>
      <c r="E105" s="127"/>
    </row>
    <row r="106" spans="1:5" s="18" customFormat="1" ht="15" customHeight="1">
      <c r="A106" s="47"/>
      <c r="B106" s="796"/>
      <c r="C106" s="796"/>
      <c r="D106" s="796"/>
      <c r="E106" s="127"/>
    </row>
    <row r="107" spans="1:5" s="18" customFormat="1" ht="15" customHeight="1">
      <c r="A107" s="47"/>
      <c r="B107" s="796"/>
      <c r="C107" s="796"/>
      <c r="D107" s="796"/>
      <c r="E107" s="127"/>
    </row>
    <row r="108" spans="1:5" s="18" customFormat="1" ht="15" customHeight="1">
      <c r="A108" s="47"/>
      <c r="B108" s="796"/>
      <c r="C108" s="796"/>
      <c r="D108" s="796"/>
      <c r="E108" s="127"/>
    </row>
    <row r="109" spans="1:5" s="18" customFormat="1" ht="15" customHeight="1">
      <c r="A109" s="47"/>
      <c r="B109" s="796"/>
      <c r="C109" s="796"/>
      <c r="D109" s="796"/>
      <c r="E109" s="127"/>
    </row>
    <row r="110" spans="1:5" s="18" customFormat="1" ht="15" customHeight="1">
      <c r="A110" s="47"/>
      <c r="B110" s="796"/>
      <c r="C110" s="796"/>
      <c r="D110" s="796"/>
      <c r="E110" s="127"/>
    </row>
    <row r="111" spans="1:5" s="18" customFormat="1" ht="15" customHeight="1">
      <c r="A111" s="47"/>
      <c r="B111" s="796"/>
      <c r="C111" s="796"/>
      <c r="D111" s="796"/>
      <c r="E111" s="127"/>
    </row>
    <row r="112" spans="1:5" s="18" customFormat="1" ht="15" customHeight="1">
      <c r="A112" s="47"/>
      <c r="B112" s="796"/>
      <c r="C112" s="796"/>
      <c r="D112" s="796"/>
      <c r="E112" s="127"/>
    </row>
    <row r="113" spans="1:5" s="18" customFormat="1" ht="15" customHeight="1">
      <c r="A113" s="47"/>
      <c r="B113" s="796"/>
      <c r="C113" s="796"/>
      <c r="D113" s="796"/>
      <c r="E113" s="127"/>
    </row>
    <row r="114" spans="1:5" s="18" customFormat="1" ht="15" customHeight="1">
      <c r="A114" s="47"/>
      <c r="B114" s="796"/>
      <c r="C114" s="796"/>
      <c r="D114" s="796"/>
      <c r="E114" s="127"/>
    </row>
    <row r="115" spans="1:5" s="18" customFormat="1" ht="15" customHeight="1">
      <c r="A115" s="47"/>
      <c r="B115" s="796"/>
      <c r="C115" s="796"/>
      <c r="D115" s="796"/>
      <c r="E115" s="127"/>
    </row>
    <row r="116" spans="1:5" s="18" customFormat="1" ht="15" customHeight="1">
      <c r="A116" s="47"/>
      <c r="B116" s="796"/>
      <c r="C116" s="796"/>
      <c r="D116" s="796"/>
      <c r="E116" s="127"/>
    </row>
    <row r="117" spans="1:5" s="18" customFormat="1" ht="15" customHeight="1">
      <c r="A117" s="47"/>
      <c r="B117" s="796"/>
      <c r="C117" s="796"/>
      <c r="D117" s="796"/>
      <c r="E117" s="127"/>
    </row>
    <row r="118" spans="1:5" s="18" customFormat="1" ht="15" customHeight="1">
      <c r="A118" s="47"/>
      <c r="B118" s="796"/>
      <c r="C118" s="796"/>
      <c r="D118" s="796"/>
      <c r="E118" s="127"/>
    </row>
    <row r="119" spans="1:5" s="18" customFormat="1" ht="15" customHeight="1">
      <c r="A119" s="47"/>
      <c r="B119" s="796"/>
      <c r="C119" s="796"/>
      <c r="D119" s="796"/>
      <c r="E119" s="127"/>
    </row>
    <row r="120" spans="1:5" s="18" customFormat="1" ht="15" customHeight="1">
      <c r="A120" s="47"/>
      <c r="B120" s="796"/>
      <c r="C120" s="796"/>
      <c r="D120" s="796"/>
      <c r="E120" s="127"/>
    </row>
    <row r="121" spans="1:5" s="18" customFormat="1" ht="15" customHeight="1">
      <c r="A121" s="781"/>
      <c r="B121" s="796"/>
      <c r="C121" s="796"/>
      <c r="D121" s="796"/>
      <c r="E121" s="127"/>
    </row>
    <row r="122" spans="1:5" s="18" customFormat="1" ht="15" customHeight="1">
      <c r="A122" s="781"/>
      <c r="B122" s="796"/>
      <c r="C122" s="796"/>
      <c r="D122" s="796"/>
      <c r="E122" s="127"/>
    </row>
    <row r="123" spans="1:5" s="18" customFormat="1" ht="15" customHeight="1">
      <c r="A123" s="781"/>
      <c r="B123" s="796"/>
      <c r="C123" s="796"/>
      <c r="D123" s="796"/>
      <c r="E123" s="127"/>
    </row>
    <row r="124" spans="1:5" s="18" customFormat="1" ht="15" customHeight="1">
      <c r="A124" s="781"/>
      <c r="B124" s="796"/>
      <c r="C124" s="796"/>
      <c r="D124" s="796"/>
      <c r="E124" s="127"/>
    </row>
    <row r="125" spans="1:5" s="18" customFormat="1" ht="15" customHeight="1">
      <c r="A125" s="781"/>
      <c r="B125" s="796"/>
      <c r="C125" s="796"/>
      <c r="D125" s="796"/>
      <c r="E125" s="127"/>
    </row>
    <row r="126" spans="1:5" s="18" customFormat="1" ht="15" customHeight="1">
      <c r="A126" s="781"/>
      <c r="B126" s="796"/>
      <c r="C126" s="796"/>
      <c r="D126" s="796"/>
      <c r="E126" s="127"/>
    </row>
    <row r="127" spans="1:5" s="18" customFormat="1" ht="15" customHeight="1">
      <c r="A127" s="781"/>
      <c r="B127" s="796"/>
      <c r="C127" s="796"/>
      <c r="D127" s="796"/>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cp:lastModifiedBy>
  <cp:lastPrinted>2006-08-17T12:39:50Z</cp:lastPrinted>
  <dcterms:created xsi:type="dcterms:W3CDTF">1999-07-28T13:02:54Z</dcterms:created>
  <dcterms:modified xsi:type="dcterms:W3CDTF">2006-08-17T12:40:29Z</dcterms:modified>
  <cp:category/>
  <cp:version/>
  <cp:contentType/>
  <cp:contentStatus/>
</cp:coreProperties>
</file>